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45" firstSheet="3" activeTab="12"/>
  </bookViews>
  <sheets>
    <sheet name="Биланс успеха" sheetId="1" r:id="rId1"/>
    <sheet name="Биланс стања" sheetId="2" r:id="rId2"/>
    <sheet name="Извештај о новчаним токовима" sheetId="3" r:id="rId3"/>
    <sheet name="Зараде"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има" sheetId="12" r:id="rId12"/>
    <sheet name="Образац НБС" sheetId="13" r:id="rId13"/>
  </sheets>
  <definedNames/>
  <calcPr fullCalcOnLoad="1"/>
</workbook>
</file>

<file path=xl/sharedStrings.xml><?xml version="1.0" encoding="utf-8"?>
<sst xmlns="http://schemas.openxmlformats.org/spreadsheetml/2006/main" count="2361" uniqueCount="1548">
  <si>
    <t>Образац 1</t>
  </si>
  <si>
    <t>Предузеће:ЈВП БЕОГРАДВОДЕ</t>
  </si>
  <si>
    <t>Матични број:07029110</t>
  </si>
  <si>
    <t>у 000 динара</t>
  </si>
  <si>
    <t>Група рачуна, рачун</t>
  </si>
  <si>
    <t>ПОЗИЦИЈА</t>
  </si>
  <si>
    <t>AOП</t>
  </si>
  <si>
    <t>План</t>
  </si>
  <si>
    <t>Реализација</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</si>
  <si>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</si>
  <si>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</si>
  <si>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</si>
  <si>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</si>
  <si>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</si>
  <si>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</si>
  <si>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</si>
  <si>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</si>
  <si>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</si>
  <si>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</si>
  <si>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</si>
  <si>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</si>
  <si>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</si>
  <si>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</si>
  <si>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</si>
  <si>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</si>
  <si>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</si>
  <si>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</si>
  <si>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</si>
  <si>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</si>
  <si>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</si>
  <si>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</si>
  <si>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</si>
  <si>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</si>
  <si>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</si>
  <si>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</si>
  <si>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</si>
  <si>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</si>
  <si>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</si>
  <si>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</si>
  <si>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</si>
  <si>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</si>
  <si>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</si>
  <si>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</si>
  <si>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</si>
  <si>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</si>
  <si>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</si>
  <si>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</si>
  <si>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</si>
  <si>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</si>
  <si>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</si>
  <si>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</si>
  <si>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</si>
  <si>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</si>
  <si>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</si>
  <si>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</si>
  <si>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</si>
  <si>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</si>
  <si>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</si>
  <si>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I. ФИНАНСИЈСКИ РАСХОДИ ИЗ ОДНОСА СА ПОВЕЗАНИМ ПРАВНИМ ЛИЦИМА И ОСТАЛИ ФИНАНСИЈСКИ РАСХОДИ (1042 + 1043 + 1044 + 1045)</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</si>
  <si>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</si>
  <si>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</si>
  <si>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</si>
  <si>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</si>
  <si>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</si>
  <si>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</si>
  <si>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</si>
  <si>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</si>
  <si>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</si>
  <si>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</si>
  <si>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</si>
  <si>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</si>
  <si>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</si>
  <si>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</si>
  <si>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</si>
  <si>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</si>
  <si>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</si>
  <si>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</si>
  <si>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</si>
  <si>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</si>
  <si>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69-59</t>
  </si>
  <si>
    <t>М. НЕТО ДОБИТАК ПОСЛОВАЊА КОЈЕ СЕ ОБУСТАВЉА, ЕФЕКТИ ПРОМЕНЕ РАЧУНОВОДСТВЕНЕ ПОЛИТИКЕ И ИСПРАВКА ГРЕШАКА ИЗ РАНИЈИХ ПЕРИОДА</t>
  </si>
  <si>
    <t>59-69</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</si>
  <si>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</si>
  <si>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</si>
  <si>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</si>
  <si>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</si>
  <si>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</si>
  <si>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</si>
  <si>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</si>
  <si>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</si>
  <si>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</si>
  <si>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С. НЕТО ДОБИТАК (1058 – 1059 – 1060 – 1061 + 1062 - 1063)</t>
  </si>
  <si>
    <t>Т. НЕТО ГУБИТАК (1059 – 1058 + 1060 + 1061 – 1062 + 1063)</t>
  </si>
  <si>
    <t>I. НЕТО ДОБИТАК КОЈИ ПРИПАДА МАЊИНСКИМ УЛАГАЧИМА</t>
  </si>
  <si>
    <t>II. НЕТО ДОБИТАК КОЈИ ПРИПАДА ВЕЋИНСКОМ ВЛАСНИКУ</t>
  </si>
  <si>
    <t>III. НЕТО ГУБИТАК  КОЈИ ПРИПАДА МАЊИНСКИМ УЛАГАЧИМА</t>
  </si>
  <si>
    <t>IV. НЕТО ГУБИТАК  КОЈИ ПРИПАДА ВЕЋИНСКОМ ВЛАСНИКУ</t>
  </si>
  <si>
    <t>V. ЗАРАДА ПО АКЦИЈИ</t>
  </si>
  <si>
    <t>1. Основна зарада по акцији</t>
  </si>
  <si>
    <t>2. Умањена (разводњена) зарада по акцији</t>
  </si>
  <si>
    <t>Oвлашћено лице: __________________________</t>
  </si>
  <si>
    <t xml:space="preserve">М.П. </t>
  </si>
  <si>
    <t>Предузеће: ЈВП БЕОГРАДВОДЕ</t>
  </si>
  <si>
    <t>Образац 1А</t>
  </si>
  <si>
    <t>П О З И Ц И Ј А</t>
  </si>
  <si>
    <t>АОП</t>
  </si>
  <si>
    <t xml:space="preserve">План </t>
  </si>
  <si>
    <t xml:space="preserve">
Реализација</t>
  </si>
  <si>
    <t>АКТИВА</t>
  </si>
  <si>
    <t>А. УПИСАНИ А НЕУПЛАЋЕНИ КАПИТАЛ</t>
  </si>
  <si>
    <t>001</t>
  </si>
  <si>
    <r>
      <t xml:space="preserve">Б.СТАЛНА ИМОВИНА </t>
    </r>
    <r>
      <rPr>
        <sz val="14"/>
        <rFont val="Times New Roman"/>
        <family val="1"/>
      </rPr>
      <t>(0003+0010+0019+0024+0034)</t>
    </r>
  </si>
  <si>
    <t>002</t>
  </si>
  <si>
    <t>I. НЕМАТЕРИЈАЛНА ИМОВИНА (0004+0005+0006+0007+0008+0009)</t>
  </si>
  <si>
    <t>003</t>
  </si>
  <si>
    <t>010 и део 019</t>
  </si>
  <si>
    <t>1. Улагања у развој</t>
  </si>
  <si>
    <t>004</t>
  </si>
  <si>
    <t>011, 012 и део 019</t>
  </si>
  <si>
    <t>2. Концесије, патенти, лиценце, робне и услужне марке, софтвер и остала права</t>
  </si>
  <si>
    <t>005</t>
  </si>
  <si>
    <t>013 и део 019</t>
  </si>
  <si>
    <t>3. Гудвил</t>
  </si>
  <si>
    <t>006</t>
  </si>
  <si>
    <t>014 и део 019</t>
  </si>
  <si>
    <t>4. Остала нематеријална имовина</t>
  </si>
  <si>
    <t>007</t>
  </si>
  <si>
    <t>015 и део 019</t>
  </si>
  <si>
    <t>5. Нематеријална имовина у припреми</t>
  </si>
  <si>
    <t>008</t>
  </si>
  <si>
    <t>016 и део 019</t>
  </si>
  <si>
    <t>6. Аванси за нематеријалну имовину</t>
  </si>
  <si>
    <t>009</t>
  </si>
  <si>
    <t>II. НЕКРЕТНИНЕ, ПОСТРОJEЊА И ОПРЕМА (0011 + 0012 + 0013 + 0014 + 0015 + 0016 + 0017 + 0018)</t>
  </si>
  <si>
    <t>010</t>
  </si>
  <si>
    <t>020, 021 и део 029</t>
  </si>
  <si>
    <t>1. Земљиште</t>
  </si>
  <si>
    <t>011</t>
  </si>
  <si>
    <t>022 и део 029</t>
  </si>
  <si>
    <t>2. Грађевински објекти</t>
  </si>
  <si>
    <t>012</t>
  </si>
  <si>
    <t>023 и део 029</t>
  </si>
  <si>
    <t>3. Постројења и опрема</t>
  </si>
  <si>
    <t>013</t>
  </si>
  <si>
    <t>024 и део 029</t>
  </si>
  <si>
    <t>4. Инвестиционе некретнине</t>
  </si>
  <si>
    <t>014</t>
  </si>
  <si>
    <t>025 и део 029</t>
  </si>
  <si>
    <t>5. Остале некретнине, постројења и опрема</t>
  </si>
  <si>
    <t>015</t>
  </si>
  <si>
    <t>026 и део 029</t>
  </si>
  <si>
    <t>6. Некретнине, постројења и опрема у припреми</t>
  </si>
  <si>
    <t>016</t>
  </si>
  <si>
    <t>027 и део 029</t>
  </si>
  <si>
    <t>7. Улагања на туђим некретнинама, постројењима и опреми</t>
  </si>
  <si>
    <t>017</t>
  </si>
  <si>
    <t>028 и део 029</t>
  </si>
  <si>
    <t>8. Аванси за некретнине, постројења и опрему</t>
  </si>
  <si>
    <t>018</t>
  </si>
  <si>
    <t>III. БИОЛОШКА СРЕДСТВА (0020 + 0021 + 0022 + 0023)</t>
  </si>
  <si>
    <t>019</t>
  </si>
  <si>
    <t>030, 031 и део 039</t>
  </si>
  <si>
    <t>1. Шуме и вишегодишњи засади</t>
  </si>
  <si>
    <t>020</t>
  </si>
  <si>
    <t>032 и део 039</t>
  </si>
  <si>
    <t>2. Основно стадо</t>
  </si>
  <si>
    <t>021</t>
  </si>
  <si>
    <t>037 и део 039</t>
  </si>
  <si>
    <t>3. Биолошка средства у припреми</t>
  </si>
  <si>
    <t>022</t>
  </si>
  <si>
    <t>038 и део 039</t>
  </si>
  <si>
    <t>4. Аванси за биолошка средства</t>
  </si>
  <si>
    <t>023</t>
  </si>
  <si>
    <t>04. осим 047</t>
  </si>
  <si>
    <t>IV. ДУГОРОЧНИ ФИНАНСИЈСКИ ПЛАСМАНИ 0025 + 0026 + 0027 + 0028 + 0029 + 0030 + 0031 + 0032 + 0033)</t>
  </si>
  <si>
    <t>024</t>
  </si>
  <si>
    <t>040 и део 049</t>
  </si>
  <si>
    <t>1. Учешћа у капиталу зависних правних лица</t>
  </si>
  <si>
    <t>025</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</si>
  <si>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</si>
  <si>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</si>
  <si>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</si>
  <si>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</si>
  <si>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</si>
  <si>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</si>
  <si>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</si>
  <si>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</si>
  <si>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</si>
  <si>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</si>
  <si>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</si>
  <si>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</si>
  <si>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</si>
  <si>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</si>
  <si>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</si>
  <si>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</si>
  <si>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</si>
  <si>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</si>
  <si>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</si>
  <si>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</si>
  <si>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</si>
  <si>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</si>
  <si>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</si>
  <si>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</si>
  <si>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</si>
  <si>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</si>
  <si>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</si>
  <si>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</si>
  <si>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</si>
  <si>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</si>
  <si>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</si>
  <si>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</si>
  <si>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</si>
  <si>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053 и део 059</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</si>
  <si>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</si>
  <si>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</si>
  <si>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</si>
  <si>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</si>
  <si>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</si>
  <si>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</si>
  <si>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</si>
  <si>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</si>
  <si>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</si>
  <si>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</si>
  <si>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</si>
  <si>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В. ОДЛОЖЕНА ПОРЕСКА СРЕДСТВА</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</si>
  <si>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</si>
  <si>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</si>
  <si>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</si>
  <si>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</si>
  <si>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</si>
  <si>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</si>
  <si>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</si>
  <si>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</si>
  <si>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</si>
  <si>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</si>
  <si>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</si>
  <si>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</si>
  <si>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</si>
  <si>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</si>
  <si>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</si>
  <si>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</si>
  <si>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</si>
  <si>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</si>
  <si>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</si>
  <si>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</si>
  <si>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</si>
  <si>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</si>
  <si>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</si>
  <si>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</si>
  <si>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</si>
  <si>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</si>
  <si>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</si>
  <si>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</si>
  <si>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</si>
  <si>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</si>
  <si>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</si>
  <si>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</si>
  <si>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</si>
  <si>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</si>
  <si>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</si>
  <si>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</si>
  <si>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</si>
  <si>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</si>
  <si>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</si>
  <si>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</si>
  <si>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</si>
  <si>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</si>
  <si>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</si>
  <si>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</si>
  <si>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</si>
  <si>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</si>
  <si>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</si>
  <si>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</si>
  <si>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</si>
  <si>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</si>
  <si>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</si>
  <si>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</si>
  <si>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</si>
  <si>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</si>
  <si>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</si>
  <si>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</si>
  <si>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</si>
  <si>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</si>
  <si>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</si>
  <si>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</si>
  <si>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</si>
  <si>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</si>
  <si>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</si>
  <si>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</si>
  <si>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</si>
  <si>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</si>
  <si>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</si>
  <si>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</si>
  <si>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</si>
  <si>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</si>
  <si>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</si>
  <si>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</si>
  <si>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</si>
  <si>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</si>
  <si>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</si>
  <si>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</si>
  <si>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ПАСИВА</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</si>
  <si>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</si>
  <si>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</si>
  <si>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</si>
  <si>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</si>
  <si>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</si>
  <si>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</si>
  <si>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</si>
  <si>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</si>
  <si>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</si>
  <si>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</si>
  <si>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</si>
  <si>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</si>
  <si>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</si>
  <si>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</si>
  <si>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</si>
  <si>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</si>
  <si>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</si>
  <si>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</si>
  <si>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</si>
  <si>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</si>
  <si>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</si>
  <si>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</si>
  <si>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</si>
  <si>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</si>
  <si>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</si>
  <si>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</si>
  <si>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</si>
  <si>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</si>
  <si>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</si>
  <si>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</si>
  <si>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</si>
  <si>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</si>
  <si>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</si>
  <si>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</si>
  <si>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</si>
  <si>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</si>
  <si>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</si>
  <si>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</si>
  <si>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</si>
  <si>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</si>
  <si>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</si>
  <si>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</si>
  <si>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</si>
  <si>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</si>
  <si>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</si>
  <si>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</si>
  <si>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</si>
  <si>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</si>
  <si>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</si>
  <si>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</si>
  <si>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</si>
  <si>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</si>
  <si>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</si>
  <si>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</si>
  <si>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</si>
  <si>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</si>
  <si>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</si>
  <si>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</si>
  <si>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</si>
  <si>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</si>
  <si>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</si>
  <si>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</si>
  <si>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</si>
  <si>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</si>
  <si>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</si>
  <si>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</si>
  <si>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</si>
  <si>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</si>
  <si>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</si>
  <si>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</si>
  <si>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</si>
  <si>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</si>
  <si>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</si>
  <si>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</si>
  <si>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</si>
  <si>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</si>
  <si>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</si>
  <si>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</si>
  <si>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</si>
  <si>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</si>
  <si>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</si>
  <si>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</si>
  <si>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</si>
  <si>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</si>
  <si>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</si>
  <si>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</si>
  <si>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</si>
  <si>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</si>
  <si>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</si>
  <si>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</si>
  <si>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</si>
  <si>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</si>
  <si>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</si>
  <si>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</si>
  <si>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</si>
  <si>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</si>
  <si>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</si>
  <si>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</si>
  <si>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</si>
  <si>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</si>
  <si>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</si>
  <si>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</si>
  <si>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</si>
  <si>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</si>
  <si>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</si>
  <si>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</si>
  <si>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</si>
  <si>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</si>
  <si>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</si>
  <si>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</si>
  <si>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</si>
  <si>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</si>
  <si>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</si>
  <si>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</si>
  <si>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</si>
  <si>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</si>
  <si>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</si>
  <si>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</si>
  <si>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</si>
  <si>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</si>
  <si>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</si>
  <si>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</si>
  <si>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</si>
  <si>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</si>
  <si>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</si>
  <si>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</si>
  <si>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</si>
  <si>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</si>
  <si>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</si>
  <si>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</si>
  <si>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</si>
  <si>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</si>
  <si>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</si>
  <si>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</si>
  <si>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</si>
  <si>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</si>
  <si>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Образац 1Б</t>
  </si>
  <si>
    <t>ИЗВЕШТАЈ О ТОКОВИМА ГОТОВИНЕ</t>
  </si>
  <si>
    <t>у 000 динарa</t>
  </si>
  <si>
    <t>А. ТОКОВИ ГОТОВИНЕ ИЗ ПОСЛОВНИХ АКТИВНОСТИ</t>
  </si>
  <si>
    <t>I. Приливи готовине из пословних активности (1 до 3)</t>
  </si>
  <si>
    <t>1. Продаја и примљени аванси</t>
  </si>
  <si>
    <t>2. Примљене камате из пословних активности</t>
  </si>
  <si>
    <t>3. Остали приливи из редовног пословања</t>
  </si>
  <si>
    <t>II. Одливи готовине из пословних активности (1 до 5)</t>
  </si>
  <si>
    <t>1. Исплате добављачима и дати аванси</t>
  </si>
  <si>
    <t>2. Зараде, накнаде зарада и остали лични расходи</t>
  </si>
  <si>
    <t>3. Плаћене камате</t>
  </si>
  <si>
    <t>4. Порез на добитак</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</si>
  <si>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</si>
  <si>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</si>
  <si>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</si>
  <si>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Б. ТОКОВИ ГОТОВИНЕ ИЗ АКТИВНОСТИ ИНВЕСТИРАЊА</t>
  </si>
  <si>
    <t>I. Приливи готовине из активности инвестирања (1 до 5)</t>
  </si>
  <si>
    <t>1. Продаја акција и удела (нето приливи)</t>
  </si>
  <si>
    <t>2. Продаја нематеријалне имовине,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</si>
  <si>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</si>
  <si>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</si>
  <si>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</si>
  <si>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II. Одливи готовине из активности инвестирања (1 до 3)</t>
  </si>
  <si>
    <t>1. Куповина акција и удела (нето одливи)</t>
  </si>
  <si>
    <t>2. Куповина нематеријалне имовине, некретнина, постројења, опреме и биолошких средстава</t>
  </si>
  <si>
    <t>3. Остали финансијски пласмани (нето одливи)</t>
  </si>
  <si>
    <t>III. Нето прилив готовине из активности инвестирања (I-II)</t>
  </si>
  <si>
    <t>IV. Нето одлив готовине из активности инвестирања (II-I)</t>
  </si>
  <si>
    <t>В. ТОКОВИ ГОТОВИНЕ ИЗ АКТИВНОСТИ ФИНАНСИРАЊА</t>
  </si>
  <si>
    <t>I. Приливи готовине из активности финансирања (1 до 5)</t>
  </si>
  <si>
    <t>1. Увећање основног капитала</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</si>
  <si>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</si>
  <si>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</si>
  <si>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</si>
  <si>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</si>
  <si>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</si>
  <si>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1. Откуп сопствених акција и удела</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</si>
  <si>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</si>
  <si>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</si>
  <si>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</si>
  <si>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</si>
  <si>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</si>
  <si>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</si>
  <si>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</si>
  <si>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</si>
  <si>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</si>
  <si>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</si>
  <si>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</si>
  <si>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</si>
  <si>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</si>
  <si>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</si>
  <si>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</si>
  <si>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</si>
  <si>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М.П.</t>
  </si>
  <si>
    <t>Образац 2</t>
  </si>
  <si>
    <t xml:space="preserve">ТРОШКОВИ ЗАПОСЛЕНИХ </t>
  </si>
  <si>
    <t>у динарима</t>
  </si>
  <si>
    <t>Р. бр.</t>
  </si>
  <si>
    <t>Трошкови запослених</t>
  </si>
  <si>
    <t>1.</t>
  </si>
  <si>
    <t>Маса НЕТО зарада (зарада по одбитку припадајућих пореза и доприноса на терет запосленог)</t>
  </si>
  <si>
    <t>2.</t>
  </si>
  <si>
    <t>Маса БРУТО 1  зарада (зарада са припадајућим порезом и доприносима на терет запосленог)</t>
  </si>
  <si>
    <t>3.</t>
  </si>
  <si>
    <t xml:space="preserve">Маса БРУТО 2 зарада (зарада са припадајућим порезом и доприносима на терет послодавца) </t>
  </si>
  <si>
    <t>4.</t>
  </si>
  <si>
    <t>Број запослених  по кадровској евиденцији - УКУПНО*</t>
  </si>
  <si>
    <t>4.1.</t>
  </si>
  <si>
    <t xml:space="preserve"> - на неодређено време</t>
  </si>
  <si>
    <t>4.2.</t>
  </si>
  <si>
    <t>- на одређено време</t>
  </si>
  <si>
    <t>5</t>
  </si>
  <si>
    <t>Накнаде по уговору о делу</t>
  </si>
  <si>
    <t>6</t>
  </si>
  <si>
    <t xml:space="preserve">Број прималаца накнаде по уговору о делу </t>
  </si>
  <si>
    <t>7</t>
  </si>
  <si>
    <t>Накнаде по ауторским уговорима</t>
  </si>
  <si>
    <t>8</t>
  </si>
  <si>
    <t xml:space="preserve">Број прималаца наканде по ауторским уговорима </t>
  </si>
  <si>
    <t>9</t>
  </si>
  <si>
    <t>Накнаде по уговору о привременим и повременим пословима</t>
  </si>
  <si>
    <t>10</t>
  </si>
  <si>
    <t>Број прималаца накнаде по уговору о привременим и повременим пословима</t>
  </si>
  <si>
    <t>11</t>
  </si>
  <si>
    <t>Накнаде физичким лицима по основу осталих уговора</t>
  </si>
  <si>
    <t>12</t>
  </si>
  <si>
    <t xml:space="preserve">Број прималаца наканде по основу осталих уговора </t>
  </si>
  <si>
    <t>13</t>
  </si>
  <si>
    <t>Накнаде члановима скупштине</t>
  </si>
  <si>
    <t>14</t>
  </si>
  <si>
    <t>Број чланова скупштине</t>
  </si>
  <si>
    <t>15</t>
  </si>
  <si>
    <t>Накнаде члановима управног одбора</t>
  </si>
  <si>
    <t>16</t>
  </si>
  <si>
    <t xml:space="preserve">Број чланова управног одбора </t>
  </si>
  <si>
    <t>17</t>
  </si>
  <si>
    <t>Наканде члановима надзорног одбора</t>
  </si>
  <si>
    <t>18</t>
  </si>
  <si>
    <t>Број чланова надзорног одбора</t>
  </si>
  <si>
    <t>19</t>
  </si>
  <si>
    <t>Превоз запослених на посао и са посла</t>
  </si>
  <si>
    <t>20</t>
  </si>
  <si>
    <t xml:space="preserve">Дневнице на службеном путу </t>
  </si>
  <si>
    <t>21</t>
  </si>
  <si>
    <t xml:space="preserve">Накнаде трошкова на службеном путу
 </t>
  </si>
  <si>
    <t>22</t>
  </si>
  <si>
    <t>Отпремнина за одлазак у пензију</t>
  </si>
  <si>
    <t>23</t>
  </si>
  <si>
    <t>Број прималаца</t>
  </si>
  <si>
    <t>24</t>
  </si>
  <si>
    <t>Отпремнина - технолошки вишак</t>
  </si>
  <si>
    <t>25</t>
  </si>
  <si>
    <t>Јубиларне награде</t>
  </si>
  <si>
    <t>26</t>
  </si>
  <si>
    <t>27</t>
  </si>
  <si>
    <t>Смештај и исхрана на терену</t>
  </si>
  <si>
    <t>28</t>
  </si>
  <si>
    <t>Помоћ радницима и породици радника</t>
  </si>
  <si>
    <t>29</t>
  </si>
  <si>
    <t>Стипендије</t>
  </si>
  <si>
    <t>30</t>
  </si>
  <si>
    <t>Остале накнаде трошкова запосленима и осталим физичким лицима</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</si>
  <si>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</si>
  <si>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</si>
  <si>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 xml:space="preserve">                                            Овлашћено лице: ___________________________________</t>
  </si>
  <si>
    <t>Образац 3</t>
  </si>
  <si>
    <t xml:space="preserve">ДИНАМИКА ЗАПОСЛЕНИХ </t>
  </si>
  <si>
    <t>Основ одлива / пријема кадрова</t>
  </si>
  <si>
    <t xml:space="preserve">Број запослених на неодређено време </t>
  </si>
  <si>
    <t>Број запослених на одређено време</t>
  </si>
  <si>
    <t>Број ангажованих по основу уговора (рад ван радног односа)</t>
  </si>
  <si>
    <t>Одлив кадрова</t>
  </si>
  <si>
    <t>5.</t>
  </si>
  <si>
    <t>6.</t>
  </si>
  <si>
    <t>Пријем</t>
  </si>
  <si>
    <t>7.</t>
  </si>
  <si>
    <t>8.</t>
  </si>
  <si>
    <t>9.</t>
  </si>
  <si>
    <t>*последњи дан претходног тромесечја</t>
  </si>
  <si>
    <t>** последњи дан тромесечја за који се извештај доставља</t>
  </si>
  <si>
    <t>Овлашћено лице: ___________________________</t>
  </si>
  <si>
    <t>Образац 4</t>
  </si>
  <si>
    <t>Матични број: 07029110</t>
  </si>
  <si>
    <t>Рeдни
брoj</t>
  </si>
  <si>
    <t>Ознака норме</t>
  </si>
  <si>
    <t>Број
анализе</t>
  </si>
  <si>
    <t>Опис позиције</t>
  </si>
  <si>
    <t>Јединица
мере</t>
  </si>
  <si>
    <t>Цена материјала у дин.
(без ПДВ-а)</t>
  </si>
  <si>
    <t>Цена транспорта у дин.
(без ПДВ-а)</t>
  </si>
  <si>
    <t>Цена рада у дин.
(без ПДВ-а)</t>
  </si>
  <si>
    <t>Јединична
цена у дин.
(без ПДВ-а)</t>
  </si>
  <si>
    <t>Јединична
цена у дин.
(са ПДВ-ом)</t>
  </si>
  <si>
    <t>А .</t>
  </si>
  <si>
    <t>Припремни радови</t>
  </si>
  <si>
    <t xml:space="preserve"> 1 .</t>
  </si>
  <si>
    <t>GN 100.107.1</t>
  </si>
  <si>
    <t>1.GPR.1</t>
  </si>
  <si>
    <t>Израда прилаза - трепни</t>
  </si>
  <si>
    <t xml:space="preserve"> 2 .</t>
  </si>
  <si>
    <t>GN 100.107.2</t>
  </si>
  <si>
    <t>1.GPR.2</t>
  </si>
  <si>
    <t>Израда привремене ограде</t>
  </si>
  <si>
    <t>по m'</t>
  </si>
  <si>
    <t xml:space="preserve"> 3 .</t>
  </si>
  <si>
    <t>GN 100.108.1</t>
  </si>
  <si>
    <t>1.GPR.3</t>
  </si>
  <si>
    <t>Израда левка за спуштање материјала</t>
  </si>
  <si>
    <t xml:space="preserve"> 4 .</t>
  </si>
  <si>
    <t>GN 100.109.1</t>
  </si>
  <si>
    <t>1.GPR.4</t>
  </si>
  <si>
    <t>Израда кочића до 50 cm</t>
  </si>
  <si>
    <t>по ком.</t>
  </si>
  <si>
    <t xml:space="preserve"> 5 .</t>
  </si>
  <si>
    <t>GN 100.109.3</t>
  </si>
  <si>
    <t>1.GPR.5</t>
  </si>
  <si>
    <t>Израда кочића до 100 cm</t>
  </si>
  <si>
    <t xml:space="preserve"> 6 .</t>
  </si>
  <si>
    <t>GN 361-101.1.1</t>
  </si>
  <si>
    <t>Набавка, транспорт и уградња геотекстила тип 250g</t>
  </si>
  <si>
    <t xml:space="preserve"> 7 .</t>
  </si>
  <si>
    <t>GN 361-101.1.2</t>
  </si>
  <si>
    <t>Набавка, транспорт и уградња геотекстила тип 300g</t>
  </si>
  <si>
    <t xml:space="preserve"> 8 .</t>
  </si>
  <si>
    <t>GN 361-101.1.3</t>
  </si>
  <si>
    <t>Набавка, транспорт и уградња геотекстила тип 500g</t>
  </si>
  <si>
    <t xml:space="preserve"> 9 .</t>
  </si>
  <si>
    <t>GN 361-101.1.4</t>
  </si>
  <si>
    <t>Набавка, транспорт и уградња геотекстила тип 1000g</t>
  </si>
  <si>
    <t xml:space="preserve"> 10 .</t>
  </si>
  <si>
    <t>Саобраћајно обезбеђење у току извођења радова</t>
  </si>
  <si>
    <t xml:space="preserve"> 11 .</t>
  </si>
  <si>
    <t>Прибављање извода из листе непокретности у електронском облику</t>
  </si>
  <si>
    <t>по парцели</t>
  </si>
  <si>
    <t xml:space="preserve"> 12 .</t>
  </si>
  <si>
    <t>Геодетско обележавање трасе</t>
  </si>
  <si>
    <t xml:space="preserve"> 13 .</t>
  </si>
  <si>
    <t>1.GPR.6</t>
  </si>
  <si>
    <t>Израда елабората</t>
  </si>
  <si>
    <t>В .</t>
  </si>
  <si>
    <t>Земљани радови</t>
  </si>
  <si>
    <t>GN 200.109.2' A1</t>
  </si>
  <si>
    <t>2GZEM.1</t>
  </si>
  <si>
    <t>Ручни ископ земље II категорије са одбацивањем на обе стране природно влажна без жила и корења</t>
  </si>
  <si>
    <t>GN 200.109.2' A2</t>
  </si>
  <si>
    <t>2GZEM.2</t>
  </si>
  <si>
    <t>Ручни ископ земље II категорије са одбацивањем на обе стране мокра без жила и корења</t>
  </si>
  <si>
    <t>GN 200.109.2' A3</t>
  </si>
  <si>
    <t>2GZEM.3</t>
  </si>
  <si>
    <t>Ручни ископ земље II категорије са одбацивањем на обе стране житка без жила и корења</t>
  </si>
  <si>
    <t>GN 200.109.3' A1</t>
  </si>
  <si>
    <t>2GZEM.4</t>
  </si>
  <si>
    <t>Ручни ископ земље III категорије са одбацивањем на обе стране природно влажна без жила и корења</t>
  </si>
  <si>
    <t>GN 200.109.3' A2</t>
  </si>
  <si>
    <t>2GZEM.5</t>
  </si>
  <si>
    <t>Ручни ископ земље III категорије са одбацивањем на обе стране мокра без жила и корења</t>
  </si>
  <si>
    <t>GN 200.109.3' A3</t>
  </si>
  <si>
    <t>2GZEM.6</t>
  </si>
  <si>
    <t>Ручни ископ земље III категорије са одбацивањем на обе стране житка без жила и корења</t>
  </si>
  <si>
    <t>GN 200.201.1</t>
  </si>
  <si>
    <t>2GZEM.7</t>
  </si>
  <si>
    <t>Ручно насипање земље III категорије до 30 cm</t>
  </si>
  <si>
    <t>GN 200.202.1A3</t>
  </si>
  <si>
    <t>2GZEM.8</t>
  </si>
  <si>
    <t>Ручно планирање земљаних површина земље III категорије равне површине</t>
  </si>
  <si>
    <t>GN 200-202.1B3</t>
  </si>
  <si>
    <t>2GZEM.9</t>
  </si>
  <si>
    <t>Ручно планирање земљаних површина земље III категорије косе површине</t>
  </si>
  <si>
    <t>GN 200.203.1</t>
  </si>
  <si>
    <t>2GZEM.10</t>
  </si>
  <si>
    <t>Ручно разастирање природног шљунка за тампон d = 10 cm косе површине</t>
  </si>
  <si>
    <t>GN 200.301.1</t>
  </si>
  <si>
    <t>2GZEM.11</t>
  </si>
  <si>
    <t>Крчење шибља булдозером са гурањем на даљину 20 m</t>
  </si>
  <si>
    <t>GN 200.302.1</t>
  </si>
  <si>
    <t>2GZEM.12</t>
  </si>
  <si>
    <t xml:space="preserve">Машински ископ хумуса булдозером </t>
  </si>
  <si>
    <t>GN 200.303.1</t>
  </si>
  <si>
    <t>2GZEM.13</t>
  </si>
  <si>
    <t>Машински откоп песка  булдозером  са гурањем 10 m</t>
  </si>
  <si>
    <t xml:space="preserve"> 14 .</t>
  </si>
  <si>
    <t>GN 200.303.2</t>
  </si>
  <si>
    <t>2GZEM.14</t>
  </si>
  <si>
    <t>Машински откоп шљунка  булдозером  са гурањем 10 m</t>
  </si>
  <si>
    <t xml:space="preserve"> 15 .</t>
  </si>
  <si>
    <t>GN 200.303.3.3</t>
  </si>
  <si>
    <t>2GZEM.15</t>
  </si>
  <si>
    <t>Машински ископ земље III категорије  булдозером</t>
  </si>
  <si>
    <t xml:space="preserve"> 16 .</t>
  </si>
  <si>
    <t>GN 200.304.3'.3</t>
  </si>
  <si>
    <t>2GZEM.16</t>
  </si>
  <si>
    <t>Машинско разастирање ископа земље III категорије  булдозером  у слојевима до 30 cm</t>
  </si>
  <si>
    <t xml:space="preserve"> 17 .</t>
  </si>
  <si>
    <t>GN200.304'.3'.3</t>
  </si>
  <si>
    <t>2GZEM.17</t>
  </si>
  <si>
    <t>Машинско разастирање ископа земље III категорије  булдозером  у слојевима до 30 cm и дотеривање шкарпе према профилу</t>
  </si>
  <si>
    <t xml:space="preserve"> 18 .</t>
  </si>
  <si>
    <t>GN 200.304'.5.3</t>
  </si>
  <si>
    <t>2GZEM.18</t>
  </si>
  <si>
    <t xml:space="preserve">Машинско разастирање ископа земље V категорије  булдозером  у слојевима до 30 cm </t>
  </si>
  <si>
    <t xml:space="preserve"> 19 .</t>
  </si>
  <si>
    <t>GN 200.305.1'.3</t>
  </si>
  <si>
    <t>2GZEM.19</t>
  </si>
  <si>
    <t>Машинско разастирање хумуса  булдозером  у слојевима до 30 cm, гурањем</t>
  </si>
  <si>
    <t xml:space="preserve"> 20 .</t>
  </si>
  <si>
    <t>GN 200.305'.1'.4</t>
  </si>
  <si>
    <t>2GZEM.20</t>
  </si>
  <si>
    <t>Машинско разастирање хумуса  булдозером  у слојевима до 30 cm, гурањем са дотеривањем шкарпе према профилу</t>
  </si>
  <si>
    <t xml:space="preserve"> 21 .</t>
  </si>
  <si>
    <t>GN 200.307.5.2</t>
  </si>
  <si>
    <t>2GZEM.21</t>
  </si>
  <si>
    <t>Ископ канала у земљи III категорије багером природно влажна земља</t>
  </si>
  <si>
    <t xml:space="preserve"> 22 .</t>
  </si>
  <si>
    <t>GN 200.307.5.5</t>
  </si>
  <si>
    <t>2GZEM.22</t>
  </si>
  <si>
    <t>Ископ канала у земљи III категорије багером мокра земља</t>
  </si>
  <si>
    <t xml:space="preserve"> 23 .</t>
  </si>
  <si>
    <t>GN 200.307.SK.5</t>
  </si>
  <si>
    <t>2GZEM.23</t>
  </si>
  <si>
    <t>Ископ канала у земљи III категорије багером сајлашем мокра земља</t>
  </si>
  <si>
    <t xml:space="preserve"> 24 .</t>
  </si>
  <si>
    <t>GN 200.307'.5.2</t>
  </si>
  <si>
    <t>2GZEM.24</t>
  </si>
  <si>
    <t>Ископ канала у земљи III категорије багером природно влажна земља профилном кашиком</t>
  </si>
  <si>
    <t xml:space="preserve"> 25 .</t>
  </si>
  <si>
    <t>GN 200.307'.5.4</t>
  </si>
  <si>
    <t>2GZEM.25</t>
  </si>
  <si>
    <t>Ископ канала у земљи III категорије багером мокра профилном кашиком</t>
  </si>
  <si>
    <t xml:space="preserve"> 26 .</t>
  </si>
  <si>
    <t>GN 200.311.1.2.1</t>
  </si>
  <si>
    <t>2GZEM.26</t>
  </si>
  <si>
    <t>Вађење пањева багером Ø 15 - 25 cm</t>
  </si>
  <si>
    <t xml:space="preserve"> 27 .</t>
  </si>
  <si>
    <t>GN 200.311.1.2.2</t>
  </si>
  <si>
    <t>2GZEM.27</t>
  </si>
  <si>
    <t>Вађење пањева багером Ø 25 - 50 cm</t>
  </si>
  <si>
    <t xml:space="preserve"> 28 .</t>
  </si>
  <si>
    <t>GN 200.311.1.2.3</t>
  </si>
  <si>
    <t>2GZEM.28</t>
  </si>
  <si>
    <t>Вађење пањева багером  &gt; 50 cm</t>
  </si>
  <si>
    <t xml:space="preserve"> 29 .</t>
  </si>
  <si>
    <t>GN 200.312.1.1</t>
  </si>
  <si>
    <t>2GZEM.29</t>
  </si>
  <si>
    <t>Утовар песка утоваривачем у возило, природно влажан материјал</t>
  </si>
  <si>
    <t xml:space="preserve"> 30 .</t>
  </si>
  <si>
    <t>GN 200-203</t>
  </si>
  <si>
    <t>Уградња песка рефулисањем</t>
  </si>
  <si>
    <t xml:space="preserve"> 31 .</t>
  </si>
  <si>
    <t>GN 200.312.1.2</t>
  </si>
  <si>
    <t>2GZEM.30</t>
  </si>
  <si>
    <t>Утовар шљунка утоваривачем у возило, природно влажан материјал</t>
  </si>
  <si>
    <t xml:space="preserve"> 32 .</t>
  </si>
  <si>
    <t>GN 200.312.1.5</t>
  </si>
  <si>
    <t>2GZEM.31</t>
  </si>
  <si>
    <t>Утовар земље III категорије са утоваривачем у возило</t>
  </si>
  <si>
    <t xml:space="preserve"> 33 .</t>
  </si>
  <si>
    <t>GN 200.313.1</t>
  </si>
  <si>
    <t>2GZEM.32</t>
  </si>
  <si>
    <t>Сабијање насипа вибројежевима</t>
  </si>
  <si>
    <t xml:space="preserve"> 34 .</t>
  </si>
  <si>
    <t>GN 200.313.2</t>
  </si>
  <si>
    <t>2GZEM.33</t>
  </si>
  <si>
    <t>Сабијање насипа вибрационим ваљком</t>
  </si>
  <si>
    <t xml:space="preserve"> 35 .</t>
  </si>
  <si>
    <t>GN 200.315.1</t>
  </si>
  <si>
    <t>2GZEM.34</t>
  </si>
  <si>
    <t>Сабијање насипа виброплочом</t>
  </si>
  <si>
    <t xml:space="preserve"> 36 .</t>
  </si>
  <si>
    <t>GN 200.316.1</t>
  </si>
  <si>
    <t>2GZEM.35</t>
  </si>
  <si>
    <t>Ископ рупа за садњу садница</t>
  </si>
  <si>
    <t xml:space="preserve"> 37 .</t>
  </si>
  <si>
    <t>GN 200.316.1.2</t>
  </si>
  <si>
    <t>2GZEM.36</t>
  </si>
  <si>
    <t>Бушење рупа тракторском бушилицом</t>
  </si>
  <si>
    <t xml:space="preserve"> 38 .</t>
  </si>
  <si>
    <t>GN 200.317.1.A.1</t>
  </si>
  <si>
    <t>2GZEM.37</t>
  </si>
  <si>
    <t>Ручно хумузирање површина - равна површина</t>
  </si>
  <si>
    <t xml:space="preserve"> 39 .</t>
  </si>
  <si>
    <t>GN 200.317.1.B.1</t>
  </si>
  <si>
    <t>2GZEM.38</t>
  </si>
  <si>
    <t>Ручно хумузирање површина - коса површина</t>
  </si>
  <si>
    <t xml:space="preserve"> 40 .</t>
  </si>
  <si>
    <t>Набавка и уградња песка</t>
  </si>
  <si>
    <t xml:space="preserve"> 41 .</t>
  </si>
  <si>
    <t>GN 230-402.2.2.</t>
  </si>
  <si>
    <t>Набавка и уградња шљунка</t>
  </si>
  <si>
    <t>С .</t>
  </si>
  <si>
    <t>Тесарски радови</t>
  </si>
  <si>
    <t>GN 200.320.11.</t>
  </si>
  <si>
    <t>3.GTES1</t>
  </si>
  <si>
    <t>Разупирање рова од 0 - 4 m дубине</t>
  </si>
  <si>
    <t>GN 601.210.4 B.1.</t>
  </si>
  <si>
    <t>Израда једностране оплате од здраве чамове грађе</t>
  </si>
  <si>
    <t>GN 601.211.1P</t>
  </si>
  <si>
    <t>3.GTES3</t>
  </si>
  <si>
    <t>Израда двостране оплате од здраве чамове грађе</t>
  </si>
  <si>
    <t>D .</t>
  </si>
  <si>
    <t>Армирачки радови</t>
  </si>
  <si>
    <t>GN 400-101.3.1</t>
  </si>
  <si>
    <t>4.GARM1</t>
  </si>
  <si>
    <t>Уградња арматуре једноставне и средње сложености Ø 6 -12</t>
  </si>
  <si>
    <t>по kg</t>
  </si>
  <si>
    <t>GN 400-106B11</t>
  </si>
  <si>
    <t>4.GARM2</t>
  </si>
  <si>
    <t>Монтажа електроварене мрежасте арматуре</t>
  </si>
  <si>
    <t>E .</t>
  </si>
  <si>
    <t>Бетонски  радови</t>
  </si>
  <si>
    <t>GN 400.106B111</t>
  </si>
  <si>
    <t>5.GBET1</t>
  </si>
  <si>
    <t>Ручно уграђивање бетона МБ 15 -ВДП</t>
  </si>
  <si>
    <t>GN 400.106B112</t>
  </si>
  <si>
    <t>5.GBET2</t>
  </si>
  <si>
    <t>Ручно уграђивање бетона МБ 20 -ВДП</t>
  </si>
  <si>
    <t>GN 400.106B113</t>
  </si>
  <si>
    <t>5.GBET3</t>
  </si>
  <si>
    <t>Ручно уграђивање бетона МБ 25 -ВДП</t>
  </si>
  <si>
    <t>GN 400.106B114</t>
  </si>
  <si>
    <t>5.GBET4</t>
  </si>
  <si>
    <t>Ручно уграђивање бетона МБ 30 -ВДП</t>
  </si>
  <si>
    <t>Ручно уграђивање бетона МБ 40 -ВДП</t>
  </si>
  <si>
    <t>Бетонирање неармираних тампона MB 15, d = 10 cm</t>
  </si>
  <si>
    <t>по m²</t>
  </si>
  <si>
    <t>Бетонирање неармираних тампона MB 20, d = 10 cm</t>
  </si>
  <si>
    <t>GN 400.401.1.</t>
  </si>
  <si>
    <t>Набавка, транспорт и уградња Дунав блокова дим. 20х25х40 cm</t>
  </si>
  <si>
    <t>F .</t>
  </si>
  <si>
    <t>Зидарски  радови</t>
  </si>
  <si>
    <t>GN 301.404</t>
  </si>
  <si>
    <t>Зидање зидова од бетонских блокова 12х20х40 cm у цементном малтеру</t>
  </si>
  <si>
    <t>Зидање зидова од бетонских блокова 20х20х40 cm у цементном малтеру</t>
  </si>
  <si>
    <t>Зидање зидова од бетонских блокова 25х25х40 cm у цементном малтеру</t>
  </si>
  <si>
    <t>GN 301.101</t>
  </si>
  <si>
    <t>Зидање зидова од пуне опеке d = 25 cm (са израдом помоћне скеле)</t>
  </si>
  <si>
    <t>GN 301.770</t>
  </si>
  <si>
    <t>Малтерисање зидова у продужном малтеру (са израдом помоћне скеле)</t>
  </si>
  <si>
    <t>G .</t>
  </si>
  <si>
    <t>Монтерски  радови</t>
  </si>
  <si>
    <t>GN 410.451.1.A.7</t>
  </si>
  <si>
    <t>GN 410.451.1.A.9.</t>
  </si>
  <si>
    <t>GN 410.451.16 А</t>
  </si>
  <si>
    <t>GN 410.451.16.1 А</t>
  </si>
  <si>
    <t>GN 410.451.1.A.10.</t>
  </si>
  <si>
    <t>GN 410.451.1.A.11.</t>
  </si>
  <si>
    <t>GN 410.451.1.A.12.</t>
  </si>
  <si>
    <t>GN 410.451.1.A.13.</t>
  </si>
  <si>
    <t>GN 410.451.1.A.14.</t>
  </si>
  <si>
    <t>GN 410.451.1.A.15.</t>
  </si>
  <si>
    <t>GN 274-302.1</t>
  </si>
  <si>
    <t>Набавка, транспорт и монтажа дренажних цеви Ø 80</t>
  </si>
  <si>
    <t>GN 274-302.2</t>
  </si>
  <si>
    <t>Набавка, транспорт и монтажа дренажних цеви Ø 100</t>
  </si>
  <si>
    <t>GN 274-302.3</t>
  </si>
  <si>
    <t>Набавка, транспорт и монтажа дренажних цеви Ø 150</t>
  </si>
  <si>
    <t>GN 410.455.1'А2</t>
  </si>
  <si>
    <t>Набавка, транспорт и уградња PVC цеви 125х1000</t>
  </si>
  <si>
    <t>GN 410.455.1'А3</t>
  </si>
  <si>
    <t>Набавка, транспорт и уградња PVC цеви 160х1000</t>
  </si>
  <si>
    <t>GN 410.455.1'А4</t>
  </si>
  <si>
    <t>Набавка, транспорт и уградња PVC цеви 200х1000</t>
  </si>
  <si>
    <t>GN 242-501.1.3.</t>
  </si>
  <si>
    <t>Полагање бетонских плоча на подлоузи од песка 40/40/5 cm</t>
  </si>
  <si>
    <t>GN 242-501.1.</t>
  </si>
  <si>
    <t>Полагање бетонских растер елемената на подлогу од песка 40/60/8 cm</t>
  </si>
  <si>
    <t>GN 242-402.3</t>
  </si>
  <si>
    <t>Полагање ивичњака на подлогу од бетона са фуговањем 18/24/40 cm</t>
  </si>
  <si>
    <t>GN 242-402.3.</t>
  </si>
  <si>
    <t>Полагање ивичњака на подлогу од бетона са фуговањем 18/24/80 cm</t>
  </si>
  <si>
    <t>GN 242-402.2</t>
  </si>
  <si>
    <t>Полагање ивичњака на подлогу од бетона са фуговањем 20/24/40 cm</t>
  </si>
  <si>
    <t>GN 242-402.5.</t>
  </si>
  <si>
    <t>Полагање ивичњака на подлогу од бетона са фуговањем 20/24/80 cm</t>
  </si>
  <si>
    <t>GN 242-402.6.</t>
  </si>
  <si>
    <t>Полагање ивичњака на подлогу од бетона са фуговањем 12/18/40 cm</t>
  </si>
  <si>
    <t>GN 242-402.7.</t>
  </si>
  <si>
    <t>Полагање ивичњака на подлогу од бетона са фуговањем 12/18/80 cm</t>
  </si>
  <si>
    <t>GN 274 501</t>
  </si>
  <si>
    <t>Набавка и уградња бетонских каналета 50 х 40 х 10 cm</t>
  </si>
  <si>
    <t>Набавка и уградња бетонских ригола 50 х 40 х 12 cm</t>
  </si>
  <si>
    <t>Набавка транспорт и уградња бетонских репера са стопом 10 х 10 х 60 cm</t>
  </si>
  <si>
    <t>Набавка транспорт и уградња АБ стубова за ограду 10 х 12 х 250 cm (прави)</t>
  </si>
  <si>
    <t>Набавка транспорт и уградња АБ стубова за ограду 10 х 12 х 300 cm (криви)</t>
  </si>
  <si>
    <t>Набавка, транспорт и уградња "жабљег" поклопца Ø 600</t>
  </si>
  <si>
    <t>Набавка, транспорт и уградња "жабљег" поклопца Ø 800</t>
  </si>
  <si>
    <t>Набавка, транспорт и уградња "жабљег" поклопца Ø 1000</t>
  </si>
  <si>
    <t>GN 410 459.4</t>
  </si>
  <si>
    <t>Набавка, транспорт и уградња поклопца шахта носивости 5t</t>
  </si>
  <si>
    <t>Набавка, транспорт и уградња поклопца шахта носивости 10t</t>
  </si>
  <si>
    <t>Набавка, транспорт и уградња поклопца шахта носивости 15t</t>
  </si>
  <si>
    <t>GN 410 480.1-3</t>
  </si>
  <si>
    <t>Набавка, транспорт и уградња AБ елемената за шахте - прстен за шахт Ø 1000/250</t>
  </si>
  <si>
    <t>Набавка, транспорт и уградња AБ елемената за шахте - прстен за шахт Ø 1000/500</t>
  </si>
  <si>
    <t>Набавка, транспорт и уградња AБ елемената за шахте - прстен за шахт Ø 1000/1000</t>
  </si>
  <si>
    <t xml:space="preserve"> 42 .</t>
  </si>
  <si>
    <t>Набавка, транспорт и уградња AБ елемената за шахте - кинета Ø 1000/750</t>
  </si>
  <si>
    <t xml:space="preserve"> 43 .</t>
  </si>
  <si>
    <t>Набавка, транспорт и уградња AБ елемената за шахте - кинета Ø 1000/1000</t>
  </si>
  <si>
    <t xml:space="preserve"> 44 .</t>
  </si>
  <si>
    <t>Набавка, транспорт и уградња бетонске плоче за шахт Ø 1150/650/200</t>
  </si>
  <si>
    <t xml:space="preserve"> 45 .</t>
  </si>
  <si>
    <t>Набавка, транспорт и уградња бетонске плоче за шахт  са закошењем Ø 1150/650/200</t>
  </si>
  <si>
    <t xml:space="preserve"> 46 .</t>
  </si>
  <si>
    <t>Набавка, транспорт и уградња AБ рамовског пропуста 2,0 х 2,0m L=1,0m</t>
  </si>
  <si>
    <t xml:space="preserve"> 47 .</t>
  </si>
  <si>
    <t>Набавка, транспорт и уградња AБ рамовског пропуста 2,5 х 2,5m L=1,0m</t>
  </si>
  <si>
    <t xml:space="preserve"> 48 .</t>
  </si>
  <si>
    <t>GN 361-112</t>
  </si>
  <si>
    <t>Набавка, транспорт и уградња најлон фолије 4m/6m/8m</t>
  </si>
  <si>
    <t xml:space="preserve"> 49 .</t>
  </si>
  <si>
    <t>GN 410.469.3.А.2</t>
  </si>
  <si>
    <t>Набавка, транспорт и уградња (полиетилен) окитен црева 3/4''</t>
  </si>
  <si>
    <t xml:space="preserve"> 50 .</t>
  </si>
  <si>
    <t>GN 410.469.3.А.3</t>
  </si>
  <si>
    <t>Набавка, транспорт и уградња (полиетилен) окитен црева 1''</t>
  </si>
  <si>
    <t xml:space="preserve"> 51 .</t>
  </si>
  <si>
    <t>GN 410.469.3.А.4</t>
  </si>
  <si>
    <t>Набавка, транспорт и уградња (полиетилен) окитен црева 5/4''</t>
  </si>
  <si>
    <t xml:space="preserve"> 52 .</t>
  </si>
  <si>
    <t>GN 410.469.3.А.5</t>
  </si>
  <si>
    <t>Набавка, транспорт и уградња (полиетилен) окитен црева 6/4''</t>
  </si>
  <si>
    <t xml:space="preserve"> 53 .</t>
  </si>
  <si>
    <t>Набавка, транспорт и уградња (полиетилен) окитен црева 2''</t>
  </si>
  <si>
    <t xml:space="preserve"> 54 .</t>
  </si>
  <si>
    <t>GN 200.501.3.</t>
  </si>
  <si>
    <t>Набавка, транспорт и уградња плетене поцинковане жице 50х50/1,8mm</t>
  </si>
  <si>
    <t xml:space="preserve"> 55 .</t>
  </si>
  <si>
    <t>GN 361-101</t>
  </si>
  <si>
    <t>Набавка, транспорт и уградња тер хартије на битумену или битулиту</t>
  </si>
  <si>
    <t xml:space="preserve">m² </t>
  </si>
  <si>
    <t>H .</t>
  </si>
  <si>
    <t>Браварски радови</t>
  </si>
  <si>
    <t>GN 701.401.A</t>
  </si>
  <si>
    <t>Уградња разних челичних профила на водним објектима</t>
  </si>
  <si>
    <t>GN 701.301.A</t>
  </si>
  <si>
    <t xml:space="preserve">Израда и монтажа металне ограде </t>
  </si>
  <si>
    <t>I .</t>
  </si>
  <si>
    <t>Биолошки и биoтехнички радови</t>
  </si>
  <si>
    <t>GN 274.601.1</t>
  </si>
  <si>
    <t>6.GBBR1</t>
  </si>
  <si>
    <t>Ручно кошење густо обрасле траве</t>
  </si>
  <si>
    <t>GN 274.601.2</t>
  </si>
  <si>
    <t>6.GBBR2</t>
  </si>
  <si>
    <t>Ручно сечење шибља до 3 cm дебљине</t>
  </si>
  <si>
    <t>GN 274.601.3</t>
  </si>
  <si>
    <t>6.GBBR3</t>
  </si>
  <si>
    <t>Ручно сечење шибља од 3 cm до 5 cm дебљине</t>
  </si>
  <si>
    <t>GN 274.601.4</t>
  </si>
  <si>
    <t>6.GBBR4</t>
  </si>
  <si>
    <t>Ручно крчење израслина</t>
  </si>
  <si>
    <t>GN 400.602.41</t>
  </si>
  <si>
    <t>6.GBBR5</t>
  </si>
  <si>
    <t>Машинско кошење траве тракторском косачицом</t>
  </si>
  <si>
    <t>GN 200.317.1.A.4</t>
  </si>
  <si>
    <t>6.GBBR6</t>
  </si>
  <si>
    <t>Засејавање травом</t>
  </si>
  <si>
    <t>GN 200.317.1.B.4</t>
  </si>
  <si>
    <t>6.GBBR7</t>
  </si>
  <si>
    <t>Засејавање травом - коса површина</t>
  </si>
  <si>
    <t>GN 200.205.2.B1</t>
  </si>
  <si>
    <t>6.GBBR8</t>
  </si>
  <si>
    <t>Сечење дрвећа моторном тестером без кресања грана - тврдо дрво Ø 10 - 20 cm</t>
  </si>
  <si>
    <t>GN 200.205.2.B2</t>
  </si>
  <si>
    <t>6.GBBR9</t>
  </si>
  <si>
    <t>Сечење дрвећа моторном тестером без кресања грана - тврдо дрво Ø 20 - 30 cm</t>
  </si>
  <si>
    <t>GN 200.205.2.B3</t>
  </si>
  <si>
    <t>6.GBBR10</t>
  </si>
  <si>
    <t>Сечење дрвећа моторном тестером без кресања грана - тврдо дрво Ø 30 - 50 cm</t>
  </si>
  <si>
    <t>GN 200.205.2.B4</t>
  </si>
  <si>
    <t>6.GBBR11</t>
  </si>
  <si>
    <t>Сечење дрвећа моторном тестером без кресања грана - тврдо дрво &gt; Ø 50 cm</t>
  </si>
  <si>
    <t>GN 200.206.1.1</t>
  </si>
  <si>
    <t>6.GBBR12</t>
  </si>
  <si>
    <t>Ручно вађење пањева до Ø 15 cm</t>
  </si>
  <si>
    <t>GN 200.206.1.2</t>
  </si>
  <si>
    <t>6.GBBR13</t>
  </si>
  <si>
    <t>Ручно вађење пањева Ø 15 - Ø 25 cm</t>
  </si>
  <si>
    <t>GN 200.206.1.3</t>
  </si>
  <si>
    <t>6.GBBR14</t>
  </si>
  <si>
    <t>Ручно вађење пањева Ø 25 - Ø 50 cm</t>
  </si>
  <si>
    <t>GN 200.206.1.4</t>
  </si>
  <si>
    <t>6.GBBR15</t>
  </si>
  <si>
    <t>Ручно вађење пањева &gt; Ø 50 cm</t>
  </si>
  <si>
    <t>GN 200.207.2.1</t>
  </si>
  <si>
    <t>6.GBBR16</t>
  </si>
  <si>
    <t>Ручно крчење корења шибља</t>
  </si>
  <si>
    <t>GN 200.207.2.2</t>
  </si>
  <si>
    <t>6.GBBR17</t>
  </si>
  <si>
    <t>Ручно крчење корења багремца</t>
  </si>
  <si>
    <t>GN 200.207.1.</t>
  </si>
  <si>
    <t>Чишћење облоге од растиња</t>
  </si>
  <si>
    <t>Прање уређеног корита шмрковима</t>
  </si>
  <si>
    <t>J .</t>
  </si>
  <si>
    <t>Радови у камену</t>
  </si>
  <si>
    <t>GN 900.103.23</t>
  </si>
  <si>
    <t>7GRK1</t>
  </si>
  <si>
    <t>Израда, транспорт и уградња габиона дим. 2,0 x 1,0 x 0,50 m</t>
  </si>
  <si>
    <t>Израда, транспорт и уградња габионских мадраца дим. 0,3 x 1,0 x 2,0 m</t>
  </si>
  <si>
    <t>GN 301-351.A.2</t>
  </si>
  <si>
    <t>Облагање косина канала ломљеним каменом и заливање малтером</t>
  </si>
  <si>
    <t>GN 301-352.2</t>
  </si>
  <si>
    <t>Израда облоге од ломљеног камена са заливањем спојница цементним малтером</t>
  </si>
  <si>
    <t>GN 301-782.2</t>
  </si>
  <si>
    <t>Дерсовање камене облоге цементним малтером</t>
  </si>
  <si>
    <t>Уградња камене ризле</t>
  </si>
  <si>
    <t>GN 222-402.1</t>
  </si>
  <si>
    <t>Израда туцаничког застора  d = 10 cm</t>
  </si>
  <si>
    <t>Уградња ломљеног камена ролирањем</t>
  </si>
  <si>
    <t>K .</t>
  </si>
  <si>
    <t>Пренос грађевинског материјала на даљину до 50 m</t>
  </si>
  <si>
    <t>GN 900.103.9</t>
  </si>
  <si>
    <t>8GPGM1</t>
  </si>
  <si>
    <t>Превоз ископаног материјала ручним колицима I и II кат. природно влажна</t>
  </si>
  <si>
    <t>GN 900.103.13</t>
  </si>
  <si>
    <t>8GPGM2</t>
  </si>
  <si>
    <t xml:space="preserve">Превоз ископаног материјала ручним колицима III и IV кат. </t>
  </si>
  <si>
    <t>GN 900.103.16</t>
  </si>
  <si>
    <t>8GPGM3</t>
  </si>
  <si>
    <t>Превоз шљунка и песка природно влажан</t>
  </si>
  <si>
    <t>GN 900.103.19</t>
  </si>
  <si>
    <t>8GPGM4</t>
  </si>
  <si>
    <t>Превоз малтера - кречни и продужни</t>
  </si>
  <si>
    <t>GN 900.103.20</t>
  </si>
  <si>
    <t>8GPGM5</t>
  </si>
  <si>
    <t>Превоз бетона</t>
  </si>
  <si>
    <t>GN 900.103.22</t>
  </si>
  <si>
    <t>8GPGM6</t>
  </si>
  <si>
    <t>Превоз обрађеног камена</t>
  </si>
  <si>
    <t>8GPGM7</t>
  </si>
  <si>
    <t>Превоз ломљеног камена</t>
  </si>
  <si>
    <t>GN 900.103.25</t>
  </si>
  <si>
    <t>8GPGM8</t>
  </si>
  <si>
    <t>Превоз шута</t>
  </si>
  <si>
    <t>GN 900.103.28</t>
  </si>
  <si>
    <t>8GPGM9</t>
  </si>
  <si>
    <t>Превоз материјала у комадима до 20 kg по комаду</t>
  </si>
  <si>
    <t>GN 900.103.29</t>
  </si>
  <si>
    <t>8GPGM10</t>
  </si>
  <si>
    <t>Превоз материјала у комадима преко 20 kg по комаду</t>
  </si>
  <si>
    <t>GN 900.117.3</t>
  </si>
  <si>
    <t>8GPGM11</t>
  </si>
  <si>
    <t>Утовар и истовар ископа II категорије, природно влажан материјал</t>
  </si>
  <si>
    <t>GN 900.117.5</t>
  </si>
  <si>
    <t>8GPGM12</t>
  </si>
  <si>
    <t>Утовар и истовар ископа III категорије, природно влажан материјал</t>
  </si>
  <si>
    <t>GN 900.117.20</t>
  </si>
  <si>
    <t>8GPGM13</t>
  </si>
  <si>
    <t>Утовар и истовар ископа ломљеног камена d = 15 - 30 cm</t>
  </si>
  <si>
    <t>GN 900.117.26</t>
  </si>
  <si>
    <t>8GPGM14</t>
  </si>
  <si>
    <t xml:space="preserve">Утовар и истовар песка </t>
  </si>
  <si>
    <t>GN 900.117.30</t>
  </si>
  <si>
    <t>8GPGM15</t>
  </si>
  <si>
    <t>Утовар и истовар шљунка</t>
  </si>
  <si>
    <t>GN 900.117.70</t>
  </si>
  <si>
    <t>8GPGM16</t>
  </si>
  <si>
    <t>Утовар и истовар резане грађе</t>
  </si>
  <si>
    <t>GN 900.117.93</t>
  </si>
  <si>
    <t>8GPGM17</t>
  </si>
  <si>
    <t>Утовар бетонског гвожђа у шипкама</t>
  </si>
  <si>
    <t>по t</t>
  </si>
  <si>
    <t>L .</t>
  </si>
  <si>
    <t>16G-16/09</t>
  </si>
  <si>
    <t>Механизација</t>
  </si>
  <si>
    <t>16.1.</t>
  </si>
  <si>
    <t>16.1.G-16/09</t>
  </si>
  <si>
    <t>Рад булдозера "KOMATSU" D41 E</t>
  </si>
  <si>
    <t>пo час.</t>
  </si>
  <si>
    <t>16.2.</t>
  </si>
  <si>
    <t>16.2.G-16/09</t>
  </si>
  <si>
    <t>Рад булдозера "KOMATSU" D61 E</t>
  </si>
  <si>
    <t>16.3.</t>
  </si>
  <si>
    <t>16.3.G-16/09</t>
  </si>
  <si>
    <t>Рад булдозера "TG" 75</t>
  </si>
  <si>
    <t>16.4.</t>
  </si>
  <si>
    <t>16.4.G-16/09</t>
  </si>
  <si>
    <t>Рад булдозера "TG" 120</t>
  </si>
  <si>
    <t>16.5.</t>
  </si>
  <si>
    <t>16.5.G-16/09</t>
  </si>
  <si>
    <t>Рад багера "KOMATSU" PC 210LC</t>
  </si>
  <si>
    <t>Рад багера "KOMATSU" PW 140 (точкаш)</t>
  </si>
  <si>
    <t>16.6.</t>
  </si>
  <si>
    <t>16.6.G-16/09</t>
  </si>
  <si>
    <t>Рад багера "BGH" 1000</t>
  </si>
  <si>
    <t>16.7.</t>
  </si>
  <si>
    <t>16.7.G-16/09</t>
  </si>
  <si>
    <t>Рад багера "BGH" 610 D сајлаш</t>
  </si>
  <si>
    <t>16.8.1.</t>
  </si>
  <si>
    <t>16.8.1.G-16/09</t>
  </si>
  <si>
    <t>Рад компресора</t>
  </si>
  <si>
    <t>16.8.2.</t>
  </si>
  <si>
    <t>16.8.2.G-16/09</t>
  </si>
  <si>
    <t>Рад ауто дизалице 32t</t>
  </si>
  <si>
    <t>16.8.3.</t>
  </si>
  <si>
    <t>16.8.3.G-16/09</t>
  </si>
  <si>
    <t>Рад ауто дизалице 28t</t>
  </si>
  <si>
    <t>16.8.4.</t>
  </si>
  <si>
    <t>16.8.4.G-16/09</t>
  </si>
  <si>
    <t>Рад ауто дизалице 16t</t>
  </si>
  <si>
    <t>16.9.</t>
  </si>
  <si>
    <t>16.9.G-16/09</t>
  </si>
  <si>
    <t>Рад ауто дизалице 8t</t>
  </si>
  <si>
    <t>16.10.</t>
  </si>
  <si>
    <t>16.10.G-16/09</t>
  </si>
  <si>
    <t>Рад камиона кипера</t>
  </si>
  <si>
    <t>16.11.</t>
  </si>
  <si>
    <t>16.11.G-16/09</t>
  </si>
  <si>
    <t>Рад камиона до 3t  доставни</t>
  </si>
  <si>
    <t>Теренско возило</t>
  </si>
  <si>
    <t>16.12.</t>
  </si>
  <si>
    <t>16.12.G-16/09</t>
  </si>
  <si>
    <t>Рад трактора са прикључком (већи)</t>
  </si>
  <si>
    <t>16.13</t>
  </si>
  <si>
    <t>16.13.G-16/09</t>
  </si>
  <si>
    <t>Рад трактора са прикључком (мањи)</t>
  </si>
  <si>
    <t>16.14.</t>
  </si>
  <si>
    <t>16.14.G-16/09</t>
  </si>
  <si>
    <t>Рад трактора са приколицом (већи)</t>
  </si>
  <si>
    <t>16.15.</t>
  </si>
  <si>
    <t>16.15.G-16/09</t>
  </si>
  <si>
    <t>Рад утоваривача "ULT"</t>
  </si>
  <si>
    <t>16.16.</t>
  </si>
  <si>
    <t>16.16.G-16/09</t>
  </si>
  <si>
    <t>Рад утоваривача "Bobcat" S 175HF</t>
  </si>
  <si>
    <t>16.17.</t>
  </si>
  <si>
    <t>16.17.G-16/09</t>
  </si>
  <si>
    <t>Рад комбинирке</t>
  </si>
  <si>
    <t>16.18.</t>
  </si>
  <si>
    <t>16.18.G-16/09</t>
  </si>
  <si>
    <t>Рад вучног воза на превозу грађевинских машина</t>
  </si>
  <si>
    <t>Рад вишенаменског амфибијског возила</t>
  </si>
  <si>
    <t>Ангажовање чамца без мотора у току извођења радова</t>
  </si>
  <si>
    <t>Рад пловне дизалице носивости 100 t за вађење потопљених пловних објеката</t>
  </si>
  <si>
    <t>по дану</t>
  </si>
  <si>
    <t>Рад специјализоване машине "паук"</t>
  </si>
  <si>
    <t>Рад аутоцистерне</t>
  </si>
  <si>
    <t>Рад аутоцистерне на прању облога</t>
  </si>
  <si>
    <t>Рад цистерне високог притиска "Woma" на одгушењу</t>
  </si>
  <si>
    <t>Рад цистерне за одвоз комуналног отпада</t>
  </si>
  <si>
    <t>Долазак цистерни на место извршења</t>
  </si>
  <si>
    <t>по km</t>
  </si>
  <si>
    <t>Рад бетонске пумпе преко 20 m³</t>
  </si>
  <si>
    <t>Сат чекања миксера за бетон</t>
  </si>
  <si>
    <t>M .</t>
  </si>
  <si>
    <t>Пумпе за воду и ситна грађевинска механизација</t>
  </si>
  <si>
    <t>16.19.</t>
  </si>
  <si>
    <t>Пумпа AGRO - 10</t>
  </si>
  <si>
    <t>16.20.</t>
  </si>
  <si>
    <t>Тракторска пумпа "Б.Моноштор"</t>
  </si>
  <si>
    <t>16.21.</t>
  </si>
  <si>
    <t>"CADOPPI" CS - M250A</t>
  </si>
  <si>
    <t>16.22.</t>
  </si>
  <si>
    <t>Пумпа HONDA VB30</t>
  </si>
  <si>
    <t>Рад вибро-ваљка</t>
  </si>
  <si>
    <t>Рад вибро-јежа</t>
  </si>
  <si>
    <t>Рад вибро-плоче</t>
  </si>
  <si>
    <t>Первибратор за бетон</t>
  </si>
  <si>
    <t>Бушилица за разбијање бетон - Торна</t>
  </si>
  <si>
    <t>N .</t>
  </si>
  <si>
    <t>Превоз</t>
  </si>
  <si>
    <t>Превоз расутог материјала камионом до 1 km</t>
  </si>
  <si>
    <t>Превоз расутог материјала камионом до 2 km</t>
  </si>
  <si>
    <t>Превоз расутог материјала камионом до 3 km</t>
  </si>
  <si>
    <t>Превоз расутог материјала камионом до 4 km</t>
  </si>
  <si>
    <t>16.23.</t>
  </si>
  <si>
    <t xml:space="preserve">Превоз расутог материјала камионом до 5 km </t>
  </si>
  <si>
    <t>16.24.</t>
  </si>
  <si>
    <t xml:space="preserve">Превоз расутог материјала камионом до 10 km </t>
  </si>
  <si>
    <t>16.25.</t>
  </si>
  <si>
    <t>Превоз расутог материјала камионом до 15 km</t>
  </si>
  <si>
    <t>16.26.</t>
  </si>
  <si>
    <t>Превоз расутог материјала камионом до 20 km</t>
  </si>
  <si>
    <t>16.27.</t>
  </si>
  <si>
    <t>Превоз расутог материјала камионом до 25 km</t>
  </si>
  <si>
    <t>16.28.</t>
  </si>
  <si>
    <t>Превоз расутог материјала камионом до 30 km</t>
  </si>
  <si>
    <t>16.29.</t>
  </si>
  <si>
    <t>Довоз и одвоз опреме и механизације и издавање потребних дозвола</t>
  </si>
  <si>
    <t>Превоз бетона до 10 km</t>
  </si>
  <si>
    <t>по тури</t>
  </si>
  <si>
    <t>Превоз бетона до 20 km</t>
  </si>
  <si>
    <t>Превоз бетона до 40 km</t>
  </si>
  <si>
    <t>Превоз бетона до 70 km</t>
  </si>
  <si>
    <t>O .</t>
  </si>
  <si>
    <t>Вађење, транспорт и лагеровање потопљених пловних објеката</t>
  </si>
  <si>
    <t>Вађење потопљених пловних објеката на Сави и Дунаву:</t>
  </si>
  <si>
    <t>Транспорт дизалице до 5 km</t>
  </si>
  <si>
    <t>паушално</t>
  </si>
  <si>
    <t>Транспорт дизалице до 10 km</t>
  </si>
  <si>
    <t>Транспорт дизалице до 30 km</t>
  </si>
  <si>
    <t>Услуга рада рониоца</t>
  </si>
  <si>
    <t>Транспорт извађеног објекта и осталих објеката са места вађења до одредишта</t>
  </si>
  <si>
    <t>Објекат преко 600 m²</t>
  </si>
  <si>
    <t>Лагеровање и чување објеката</t>
  </si>
  <si>
    <t>P .</t>
  </si>
  <si>
    <t>Спровођење мера при хаваријским загађењима</t>
  </si>
  <si>
    <t>Излазак на терен и припрема локације за рад</t>
  </si>
  <si>
    <t>Рад НК радника</t>
  </si>
  <si>
    <t>по час.</t>
  </si>
  <si>
    <t>Рад ВК радника</t>
  </si>
  <si>
    <t>Рад инжењера експерта (ВСС)</t>
  </si>
  <si>
    <t>Рад вође групе (ВСС)</t>
  </si>
  <si>
    <t>Коришћење специјализованог возила са комплетном еколошком опремом (вакум пумпа, ВП пумпа, канал - јет систем за пробијање запушених канализација, коморе за смештај)</t>
  </si>
  <si>
    <t>Коришћење доставног возила</t>
  </si>
  <si>
    <t>Коришћење ауто-подизача</t>
  </si>
  <si>
    <t>Коришћење упијајуће плахте</t>
  </si>
  <si>
    <t>Коришћење заштитне пливајуће бране</t>
  </si>
  <si>
    <t>Коришћење упијајуће "Sorbix" бране за упијање масноћа и нафте</t>
  </si>
  <si>
    <t>Средство за упијање масноће</t>
  </si>
  <si>
    <t>Коришћење чамца</t>
  </si>
  <si>
    <t>Грубо чишћење</t>
  </si>
  <si>
    <t>Одмашћивање</t>
  </si>
  <si>
    <t>Испирање</t>
  </si>
  <si>
    <t>Дисперзант</t>
  </si>
  <si>
    <t>по литру</t>
  </si>
  <si>
    <t>R .</t>
  </si>
  <si>
    <t>Ангажовање пловне механизације</t>
  </si>
  <si>
    <t>Закуп скеле</t>
  </si>
  <si>
    <t>Најам малог гуменог чамца 15 KS</t>
  </si>
  <si>
    <t>Најам чамца гума пластика 50 KS</t>
  </si>
  <si>
    <t>Најам чамца гума пластика 140 KS</t>
  </si>
  <si>
    <t>Најам металног чамца</t>
  </si>
  <si>
    <t>Управљач чамца</t>
  </si>
  <si>
    <t>Најам брода до 750 kW</t>
  </si>
  <si>
    <t>Најам брода до 750 kW са дежурством</t>
  </si>
  <si>
    <t>Најам брода преко 750 kW</t>
  </si>
  <si>
    <t>Рад ледоломца или брода који ломи лед до 750 kW са посадом и дежурством или радом
 24 часа</t>
  </si>
  <si>
    <t>Најам самоходног теретњака до 1000 t</t>
  </si>
  <si>
    <t>Најам реморкера до 150 KS</t>
  </si>
  <si>
    <t>S .</t>
  </si>
  <si>
    <t xml:space="preserve">Радови на пошумљавању </t>
  </si>
  <si>
    <t>Рад камиона са дизалицом (утовар трупаца и посеченог материала са превозом и истоваром слагањем)</t>
  </si>
  <si>
    <t>пo km</t>
  </si>
  <si>
    <t>Машинско бушење рупа за садњу садница (плитка садња)</t>
  </si>
  <si>
    <t>пo ком.</t>
  </si>
  <si>
    <t>Машинско бушење рупа за садњу садница (дубока садња)</t>
  </si>
  <si>
    <t>Рад витла (чекрка) за привлачење стабала</t>
  </si>
  <si>
    <t>T .</t>
  </si>
  <si>
    <t>* Ценовник огревног дрвета (на колском путу / пању сортиран по категоријама) приложен је као одвојена табела</t>
  </si>
  <si>
    <t>U .</t>
  </si>
  <si>
    <t>Јединичне цене стручне радне снаге у служби накнада и такси</t>
  </si>
  <si>
    <t>Дипломирани економиста у служби накнада спец.</t>
  </si>
  <si>
    <t>Референт ВСС у служби накнада</t>
  </si>
  <si>
    <t>Референт ВШ у служби накнада</t>
  </si>
  <si>
    <t>Референт ССС у служби накнада</t>
  </si>
  <si>
    <t>V .</t>
  </si>
  <si>
    <t>Јединичне цене за функционалне пословима на водном подручју града Београда</t>
  </si>
  <si>
    <t>Руководилац објекта</t>
  </si>
  <si>
    <t>Дипломирани грађевински инжењер</t>
  </si>
  <si>
    <t>Дипломирани геодетски инжењер</t>
  </si>
  <si>
    <t>Геодетски техничар</t>
  </si>
  <si>
    <t>Техничар објекта</t>
  </si>
  <si>
    <t>Руковаоц црпне станице (ССС)</t>
  </si>
  <si>
    <t>Радник металске струке (ССС)</t>
  </si>
  <si>
    <t>Радник електро струке (ССС)</t>
  </si>
  <si>
    <t>Возач (ССС)</t>
  </si>
  <si>
    <t>Радник (КВ) на одржавању водних објекта</t>
  </si>
  <si>
    <t>РБ</t>
  </si>
  <si>
    <t>Врста сортимента</t>
  </si>
  <si>
    <t>На кам. путу</t>
  </si>
  <si>
    <t>На пању</t>
  </si>
  <si>
    <t>I категорија</t>
  </si>
  <si>
    <t>II категорија</t>
  </si>
  <si>
    <t>III категорија</t>
  </si>
  <si>
    <t>IV категорија</t>
  </si>
  <si>
    <t>V категорија</t>
  </si>
  <si>
    <t>m3</t>
  </si>
  <si>
    <t>prm</t>
  </si>
  <si>
    <t>Трупци еуро тополе</t>
  </si>
  <si>
    <t>F &gt; 35 cm</t>
  </si>
  <si>
    <t>L &gt; 30 cm</t>
  </si>
  <si>
    <t>I kl.&gt;25 cm</t>
  </si>
  <si>
    <t>II kl. &gt;20 cm</t>
  </si>
  <si>
    <t>Трупци домаће тополе и врбе</t>
  </si>
  <si>
    <t>Трупци јасена</t>
  </si>
  <si>
    <t>F 35-39 cm</t>
  </si>
  <si>
    <t>F 40-49 cm</t>
  </si>
  <si>
    <t>F &gt;50 cm</t>
  </si>
  <si>
    <t>K &gt;30 cm</t>
  </si>
  <si>
    <t>I kl.&gt;30 cm</t>
  </si>
  <si>
    <t>II kl.&gt;25 cm</t>
  </si>
  <si>
    <t>Трупци багрема</t>
  </si>
  <si>
    <t>F &gt;35 cm</t>
  </si>
  <si>
    <t>Трупци домаћег ораха и црног ораха</t>
  </si>
  <si>
    <t>Труци воћкарица</t>
  </si>
  <si>
    <t>Грађа - Рудно дрво</t>
  </si>
  <si>
    <t>TL  9-15 cm</t>
  </si>
  <si>
    <t>Tl 16-25 cm</t>
  </si>
  <si>
    <t>Грађа - Борови</t>
  </si>
  <si>
    <t>Грађа - Ј/С</t>
  </si>
  <si>
    <t>Огревно дрво ТЛ, I класа</t>
  </si>
  <si>
    <t>Огревно дрво ТЛ, II klasa</t>
  </si>
  <si>
    <t>Сеченице тврдих лишћара</t>
  </si>
  <si>
    <t>Шумски остаци тврдих лишћара</t>
  </si>
  <si>
    <t>Огревно дрво меких лишћара и четинара, I класе</t>
  </si>
  <si>
    <t>Огревно дрво меких лишћара и четинара , II класе</t>
  </si>
  <si>
    <t>Сеченице МЛ и четинара</t>
  </si>
  <si>
    <t>Шумски остаци меких лишћара</t>
  </si>
  <si>
    <t>Огревно дрво из пожаришта</t>
  </si>
  <si>
    <t>Огревно дрво осталих врста из пожар.</t>
  </si>
  <si>
    <t>Шумски отпад из пожаришта</t>
  </si>
  <si>
    <t>Шумски отпад после поплава</t>
  </si>
  <si>
    <t>Бор рудно дрво из пожаришта</t>
  </si>
  <si>
    <t>Образац 5</t>
  </si>
  <si>
    <t>СУБВЕНЦИЈЕ И ОСТАЛИ ПРИХОДИ ИЗ БУЏЕТА</t>
  </si>
  <si>
    <t>Приход</t>
  </si>
  <si>
    <t xml:space="preserve">Планирано </t>
  </si>
  <si>
    <t>Пренето из буџета</t>
  </si>
  <si>
    <t>Реализовано</t>
  </si>
  <si>
    <t xml:space="preserve">Неутрошено </t>
  </si>
  <si>
    <t>Износ неутрошених средстава из ранијих година                                     (у односу на претходну)</t>
  </si>
  <si>
    <t>4 (2-3)</t>
  </si>
  <si>
    <t>Субвенције</t>
  </si>
  <si>
    <t>Остали приходи из буџета*</t>
  </si>
  <si>
    <t>УКУПНО</t>
  </si>
  <si>
    <t>01.01. до 31.03.</t>
  </si>
  <si>
    <t>01.01. до 30.06.</t>
  </si>
  <si>
    <t>01.01. до 30.09.</t>
  </si>
  <si>
    <t>01.01. до 31.12.</t>
  </si>
  <si>
    <t>Индекс                               реализацијa 01.01.-31.03. /                                план 01.01.-31.03.</t>
  </si>
  <si>
    <t>Индекс                               реализацијa 01.01.-30.06. /                                план 01.01.-30.06.</t>
  </si>
  <si>
    <t>Индекс                               реализацијa 01.01.-30.09. /                                план 01.01.-30.09.</t>
  </si>
  <si>
    <t>Остали приходи из буџета</t>
  </si>
  <si>
    <t>Индекс                               реализацијa 01.01.-31.12. /                                план 01.01.-31.12.</t>
  </si>
  <si>
    <t>* Под осталим приходима из буџета сматрају се сви приходи који нису субвенције (нпр. додела средстава из буџета по јавном позиву, конкурсу и сл).</t>
  </si>
  <si>
    <t xml:space="preserve">     Овлашћено лице: _____________________________</t>
  </si>
  <si>
    <t>Образац 6</t>
  </si>
  <si>
    <t>СРЕДСТВА ЗА ПОСЕБНЕ НАМЕНЕ</t>
  </si>
  <si>
    <t>Позиција</t>
  </si>
  <si>
    <t>Спонзорство</t>
  </si>
  <si>
    <t>Донације</t>
  </si>
  <si>
    <t>Хуманитарне активности</t>
  </si>
  <si>
    <t>Спортске активности</t>
  </si>
  <si>
    <t>Репрезентација</t>
  </si>
  <si>
    <t>Реклама и пропаганда</t>
  </si>
  <si>
    <t>Остало</t>
  </si>
  <si>
    <t>Образац 7</t>
  </si>
  <si>
    <t xml:space="preserve">НЕТО ДОБИТ </t>
  </si>
  <si>
    <t>Пословна година</t>
  </si>
  <si>
    <t>Укупна остварена                 нето добит</t>
  </si>
  <si>
    <t>Година уплате у буџет</t>
  </si>
  <si>
    <t>Износ уплаћен у буџет по основу добити из претходне године</t>
  </si>
  <si>
    <t>Правни основ (број одлуке Владе)</t>
  </si>
  <si>
    <t>Датум уплате</t>
  </si>
  <si>
    <t>Износ уплаћен у буџет по основу добити из претходних година</t>
  </si>
  <si>
    <t>Правни основ уплате из претходних година³</t>
  </si>
  <si>
    <t xml:space="preserve">Укупно уплаћено у буџет 
</t>
  </si>
  <si>
    <t>9=4+7</t>
  </si>
  <si>
    <t>2016*</t>
  </si>
  <si>
    <t>2017**</t>
  </si>
  <si>
    <t>* добит из 2016. године је искоришћена за покриће губитка из ранијих година Одлуком Надзорног одбора број 2126/4 од 29.05.2017. године, а на коју је Оснивач дао сагласност Решењем број 3-458/17-С од 29.06.2017. године</t>
  </si>
  <si>
    <t xml:space="preserve">КРЕДИТНА ЗАДУЖЕНОСТ </t>
  </si>
  <si>
    <t>Кредитор</t>
  </si>
  <si>
    <t>Назив кредита / Пројекта</t>
  </si>
  <si>
    <t>Валута</t>
  </si>
  <si>
    <t>Уговорени износ кредита</t>
  </si>
  <si>
    <t>Гаранција државе
Да/Не</t>
  </si>
  <si>
    <t>Година повлачења кредита</t>
  </si>
  <si>
    <t>Рок отплате без периода почека</t>
  </si>
  <si>
    <t>Период почека (Grace period)</t>
  </si>
  <si>
    <t>Датум прве отплате</t>
  </si>
  <si>
    <t>Каматна стопа</t>
  </si>
  <si>
    <t>Број отплата током једне године</t>
  </si>
  <si>
    <t xml:space="preserve">                  План плаћања по кредиту за текућу годину у динарима</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</si>
  <si>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</si>
  <si>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</si>
  <si>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</si>
  <si>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</si>
  <si>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</si>
  <si>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</si>
  <si>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</si>
  <si>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</si>
  <si>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Домаћи кредитор</t>
  </si>
  <si>
    <t>Банка Интеза</t>
  </si>
  <si>
    <t>кредитна линија за набавку опреме</t>
  </si>
  <si>
    <t>РСД</t>
  </si>
  <si>
    <t>Не</t>
  </si>
  <si>
    <t>2,7%+3М БЕЛИБОР</t>
  </si>
  <si>
    <t xml:space="preserve">   ...................</t>
  </si>
  <si>
    <t>Страни кредитор</t>
  </si>
  <si>
    <t>Укупно кредитно задужење</t>
  </si>
  <si>
    <t>од чега за ликвидност</t>
  </si>
  <si>
    <t>од чега за капиталне пројекте</t>
  </si>
  <si>
    <t>НАПОМЕНА:</t>
  </si>
  <si>
    <t xml:space="preserve">            Oвлашћено лице ______________________</t>
  </si>
  <si>
    <t>Образац 9</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</si>
  <si>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</si>
  <si>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</si>
  <si>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</si>
  <si>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</si>
  <si>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</si>
  <si>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</si>
  <si>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текући рачун</t>
  </si>
  <si>
    <t>Банка Интеза - боловање</t>
  </si>
  <si>
    <t>Управа за трезор</t>
  </si>
  <si>
    <t>Укупно у динарима</t>
  </si>
  <si>
    <t>прелазни рачун</t>
  </si>
  <si>
    <t xml:space="preserve">                                                    Овлашћено лице: ____________________________________</t>
  </si>
  <si>
    <t>Образац 10</t>
  </si>
  <si>
    <t>ИЗВЕШТАЈ О ИНВЕСТИЦИЈАМА</t>
  </si>
  <si>
    <t>у 000 дин</t>
  </si>
  <si>
    <t>Редни број</t>
  </si>
  <si>
    <t xml:space="preserve">Назив инвестиционог улагања </t>
  </si>
  <si>
    <t>Извор средстава¹</t>
  </si>
  <si>
    <t>Година почетка финансирања</t>
  </si>
  <si>
    <t>Година завршетка финансирања</t>
  </si>
  <si>
    <t xml:space="preserve">Укупна вредност </t>
  </si>
  <si>
    <t>Износ инвестиционог улагања закључно са претходном годином</t>
  </si>
  <si>
    <t>Укупно:</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</si>
  <si>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</si>
  <si>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Текућа година - укупно</t>
  </si>
  <si>
    <t xml:space="preserve">План  </t>
  </si>
  <si>
    <t xml:space="preserve">Реализација  </t>
  </si>
  <si>
    <t>Образац 11</t>
  </si>
  <si>
    <t xml:space="preserve"> БРУТО ПОТРАЖИВАЊА ЈАВНОГ ПРЕДУЗЕЋА ЗА ДАТЕ КРЕДИТЕ И ЗАЈМОВЕ, ПРОДАТЕ ПРОИЗВОДЕ, РОБУ И УСЛУГЕ И ДАТЕ АВАНСЕ И ДРУГА ПОТРАЖИВАЊА</t>
  </si>
  <si>
    <t>ФИНАНСИЈСКИ ИНСТРУМЕНТИ</t>
  </si>
  <si>
    <t>Озн. за АОП</t>
  </si>
  <si>
    <t xml:space="preserve">Бруто </t>
  </si>
  <si>
    <t>Исправка вредности</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</si>
  <si>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</si>
  <si>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</si>
  <si>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</si>
  <si>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</si>
  <si>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</si>
  <si>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</si>
  <si>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</si>
  <si>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</si>
  <si>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</si>
  <si>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</si>
  <si>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</si>
  <si>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</si>
  <si>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</si>
  <si>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</si>
  <si>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</si>
  <si>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</si>
  <si>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</si>
  <si>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</si>
  <si>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</si>
  <si>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</si>
  <si>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</si>
  <si>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</si>
  <si>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</si>
  <si>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</si>
  <si>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</si>
  <si>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</si>
  <si>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</si>
  <si>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</si>
  <si>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</si>
  <si>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</si>
  <si>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</si>
  <si>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</si>
  <si>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</si>
  <si>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</si>
  <si>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</si>
  <si>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</si>
  <si>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</si>
  <si>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</si>
  <si>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</si>
  <si>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</si>
  <si>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</si>
  <si>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</si>
  <si>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</si>
  <si>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</si>
  <si>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</si>
  <si>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</si>
  <si>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 добит из 2017. године је искоришћена за покриће губитка из ранијих година Одлуком Надзорног одбора број 2502/4 од 11.06.2018. године, а на коју је Оснивач дао сагласност Решењем број 3-644/18-С од 25.09.2018. године</t>
  </si>
  <si>
    <r>
      <rPr>
        <b/>
        <sz val="12"/>
        <rFont val="Times New Roman"/>
        <family val="1"/>
      </rPr>
      <t>Напомена</t>
    </r>
    <r>
      <rPr>
        <sz val="12"/>
        <rFont val="Times New Roman"/>
        <family val="1"/>
      </rPr>
      <t>: У укупан број запослених ушао и један запослени чији је стаж у мировању.</t>
    </r>
  </si>
  <si>
    <t>Овлашћено лице:</t>
  </si>
  <si>
    <r>
      <t xml:space="preserve">ЦЕНОВНИК </t>
    </r>
    <r>
      <rPr>
        <b/>
        <sz val="20"/>
        <rFont val="Times New Roman"/>
        <family val="1"/>
      </rPr>
      <t xml:space="preserve">
ОСНОВНИХ ПОЗИЦИЈА УСЛУГА И РАДОВА НА РЕДОВНОМ ОДРЖАВАЊУ ВОДНИХ ОБЈЕКАТА 
(ВОДОТОКА И РЕГУЛАЦИОНИХ ГРАЂЕВИНА), УКЛАЊАЊА ПЛОВНИХ ОБЈЕКАТА И 
ПОСЕЧЕНОГ ДРВЕТА ПО СОРТИМЕНТИМА
НА ТЕРИТОРИЈИ ГРАДА БЕОГРАДА</t>
    </r>
  </si>
  <si>
    <r>
      <t>по m</t>
    </r>
    <r>
      <rPr>
        <sz val="20"/>
        <rFont val="Times New Roman"/>
        <family val="1"/>
      </rPr>
      <t>²</t>
    </r>
  </si>
  <si>
    <r>
      <t>по m</t>
    </r>
    <r>
      <rPr>
        <sz val="20"/>
        <rFont val="Times New Roman"/>
        <family val="1"/>
      </rPr>
      <t>³</t>
    </r>
  </si>
  <si>
    <r>
      <t xml:space="preserve">Набавка, транспорт и монтажа АБ цеви </t>
    </r>
    <r>
      <rPr>
        <sz val="20"/>
        <rFont val="Times New Roman"/>
        <family val="1"/>
      </rPr>
      <t>Ø</t>
    </r>
    <r>
      <rPr>
        <sz val="20"/>
        <rFont val="Times New Roman"/>
        <family val="1"/>
      </rPr>
      <t xml:space="preserve"> 600 mm (са муфом)</t>
    </r>
  </si>
  <si>
    <r>
      <t xml:space="preserve">Набавка, транспорт и монтажа АБ цеви </t>
    </r>
    <r>
      <rPr>
        <sz val="20"/>
        <rFont val="Times New Roman"/>
        <family val="1"/>
      </rPr>
      <t>Ø</t>
    </r>
    <r>
      <rPr>
        <sz val="20"/>
        <rFont val="Times New Roman"/>
        <family val="1"/>
      </rPr>
      <t xml:space="preserve"> 800 mm (са муфом)</t>
    </r>
  </si>
  <si>
    <r>
      <t xml:space="preserve">Набавка, транспорт и монтажа АБ цеви </t>
    </r>
    <r>
      <rPr>
        <sz val="20"/>
        <rFont val="Times New Roman"/>
        <family val="1"/>
      </rPr>
      <t>Ø</t>
    </r>
    <r>
      <rPr>
        <sz val="20"/>
        <rFont val="Times New Roman"/>
        <family val="1"/>
      </rPr>
      <t xml:space="preserve"> 1000 mm (са муфом)</t>
    </r>
  </si>
  <si>
    <r>
      <t xml:space="preserve">Набавка, транспорт и монтажа АБ цеви </t>
    </r>
    <r>
      <rPr>
        <sz val="20"/>
        <rFont val="Times New Roman"/>
        <family val="1"/>
      </rPr>
      <t>Ø</t>
    </r>
    <r>
      <rPr>
        <sz val="20"/>
        <rFont val="Times New Roman"/>
        <family val="1"/>
      </rPr>
      <t xml:space="preserve"> 1200 mm (са муфом)</t>
    </r>
  </si>
  <si>
    <r>
      <t xml:space="preserve">Набавка, транспорт и монтажа АБ цеви </t>
    </r>
    <r>
      <rPr>
        <sz val="20"/>
        <rFont val="Times New Roman"/>
        <family val="1"/>
      </rPr>
      <t>Ø</t>
    </r>
    <r>
      <rPr>
        <sz val="20"/>
        <rFont val="Times New Roman"/>
        <family val="1"/>
      </rPr>
      <t xml:space="preserve"> 1000 mm (са фалцом)</t>
    </r>
  </si>
  <si>
    <r>
      <t xml:space="preserve">Набавка, транспорт и монтажа АБ цеви </t>
    </r>
    <r>
      <rPr>
        <sz val="20"/>
        <rFont val="Times New Roman"/>
        <family val="1"/>
      </rPr>
      <t>Ø</t>
    </r>
    <r>
      <rPr>
        <sz val="20"/>
        <rFont val="Times New Roman"/>
        <family val="1"/>
      </rPr>
      <t xml:space="preserve"> 1200 mm (са фалцом)</t>
    </r>
  </si>
  <si>
    <r>
      <t xml:space="preserve">Набавка, транспорт и монтажа АБ цеви </t>
    </r>
    <r>
      <rPr>
        <sz val="20"/>
        <rFont val="Times New Roman"/>
        <family val="1"/>
      </rPr>
      <t>Ø</t>
    </r>
    <r>
      <rPr>
        <sz val="20"/>
        <rFont val="Times New Roman"/>
        <family val="1"/>
      </rPr>
      <t xml:space="preserve"> 1300 mm (са фалцом)</t>
    </r>
  </si>
  <si>
    <r>
      <t xml:space="preserve">Набавка, транспорт и монтажа АБ цеви </t>
    </r>
    <r>
      <rPr>
        <sz val="20"/>
        <rFont val="Times New Roman"/>
        <family val="1"/>
      </rPr>
      <t>Ø</t>
    </r>
    <r>
      <rPr>
        <sz val="20"/>
        <rFont val="Times New Roman"/>
        <family val="1"/>
      </rPr>
      <t xml:space="preserve"> 1400 mm (са фалцом)</t>
    </r>
  </si>
  <si>
    <r>
      <t xml:space="preserve">Набавка, транспорт и монтажа АБ цеви </t>
    </r>
    <r>
      <rPr>
        <sz val="20"/>
        <rFont val="Times New Roman"/>
        <family val="1"/>
      </rPr>
      <t>Ø</t>
    </r>
    <r>
      <rPr>
        <sz val="20"/>
        <rFont val="Times New Roman"/>
        <family val="1"/>
      </rPr>
      <t xml:space="preserve"> 1600 mm (са фалцом)</t>
    </r>
  </si>
  <si>
    <r>
      <t xml:space="preserve">Набавка, транспорт и монтажа АБ цеви </t>
    </r>
    <r>
      <rPr>
        <sz val="20"/>
        <rFont val="Times New Roman"/>
        <family val="1"/>
      </rPr>
      <t>Ø</t>
    </r>
    <r>
      <rPr>
        <sz val="20"/>
        <rFont val="Times New Roman"/>
        <family val="1"/>
      </rPr>
      <t xml:space="preserve"> 1800 mm (са фалцом)</t>
    </r>
  </si>
  <si>
    <r>
      <t xml:space="preserve">Набавка, транспорт и монтажа АБ цеви </t>
    </r>
    <r>
      <rPr>
        <sz val="20"/>
        <rFont val="Times New Roman"/>
        <family val="1"/>
      </rPr>
      <t>Ø</t>
    </r>
    <r>
      <rPr>
        <sz val="20"/>
        <rFont val="Times New Roman"/>
        <family val="1"/>
      </rPr>
      <t xml:space="preserve"> 2000 mm (са фалцом)</t>
    </r>
  </si>
  <si>
    <r>
      <t xml:space="preserve">Набавка, транспорт и монтажа АБ цеви </t>
    </r>
    <r>
      <rPr>
        <sz val="20"/>
        <rFont val="Times New Roman"/>
        <family val="1"/>
      </rPr>
      <t>Ø</t>
    </r>
    <r>
      <rPr>
        <sz val="20"/>
        <rFont val="Times New Roman"/>
        <family val="1"/>
      </rPr>
      <t xml:space="preserve"> 2200 mm (са фалцом)</t>
    </r>
  </si>
  <si>
    <r>
      <t xml:space="preserve">Набавка, транспорт и монтажа АБ цеви </t>
    </r>
    <r>
      <rPr>
        <sz val="20"/>
        <rFont val="Times New Roman"/>
        <family val="1"/>
      </rPr>
      <t>Ø</t>
    </r>
    <r>
      <rPr>
        <sz val="20"/>
        <rFont val="Times New Roman"/>
        <family val="1"/>
      </rPr>
      <t xml:space="preserve"> 2400 mm (са фалцом)</t>
    </r>
  </si>
  <si>
    <r>
      <t>по m</t>
    </r>
    <r>
      <rPr>
        <sz val="20"/>
        <rFont val="Times New Roman"/>
        <family val="1"/>
      </rPr>
      <t>³</t>
    </r>
    <r>
      <rPr>
        <sz val="20"/>
        <rFont val="Times New Roman"/>
        <family val="1"/>
      </rPr>
      <t>/km</t>
    </r>
  </si>
  <si>
    <r>
      <t>Објекат до 100 m</t>
    </r>
    <r>
      <rPr>
        <sz val="20"/>
        <rFont val="Times New Roman"/>
        <family val="1"/>
      </rPr>
      <t>²</t>
    </r>
  </si>
  <si>
    <r>
      <t>Објекат од 200 m</t>
    </r>
    <r>
      <rPr>
        <sz val="20"/>
        <rFont val="Times New Roman"/>
        <family val="1"/>
      </rPr>
      <t>²</t>
    </r>
  </si>
  <si>
    <r>
      <t>Објекат од 300 m</t>
    </r>
    <r>
      <rPr>
        <sz val="20"/>
        <rFont val="Times New Roman"/>
        <family val="1"/>
      </rPr>
      <t>² до 600 m²</t>
    </r>
  </si>
  <si>
    <r>
      <t>Технички пловни објекат (понтон) од 20 m</t>
    </r>
    <r>
      <rPr>
        <sz val="20"/>
        <rFont val="Times New Roman"/>
        <family val="1"/>
      </rPr>
      <t>²</t>
    </r>
    <r>
      <rPr>
        <sz val="20"/>
        <rFont val="Times New Roman"/>
        <family val="1"/>
      </rPr>
      <t xml:space="preserve"> </t>
    </r>
    <r>
      <rPr>
        <sz val="20"/>
        <rFont val="Times New Roman"/>
        <family val="1"/>
      </rPr>
      <t xml:space="preserve">до 120 m² </t>
    </r>
  </si>
  <si>
    <t>Реализација 
01.01-31.12.2018.      Претходна година</t>
  </si>
  <si>
    <t>План за
01.01-31.12.2019.             Текућа година</t>
  </si>
  <si>
    <t>Стање на дан 
31.12.2018.
Претходна година</t>
  </si>
  <si>
    <t>Планирано стање 
на дан 31.12.2019. Текућа година</t>
  </si>
  <si>
    <t>31.03.2019.</t>
  </si>
  <si>
    <t>01.01.-31.03.2019.</t>
  </si>
  <si>
    <t>Датум</t>
  </si>
  <si>
    <t>Претходна година
2018</t>
  </si>
  <si>
    <t>План за период 01.01-31.12.2019. текућа година</t>
  </si>
  <si>
    <t>Период од 01.01. до 31.03.2019.</t>
  </si>
  <si>
    <t>Период од 01.01. до 30.06.2019.</t>
  </si>
  <si>
    <t>Период од 01.01. до 30.09.2019.</t>
  </si>
  <si>
    <t>Период од 01.01. до 31.12.2019.</t>
  </si>
  <si>
    <t>План за
01.01-31.12.2018.             Претходна  година</t>
  </si>
  <si>
    <t>31.12.2018. (претходна година)</t>
  </si>
  <si>
    <t>30.06.2019.</t>
  </si>
  <si>
    <t>30.09.2019.</t>
  </si>
  <si>
    <t>31.12.2019.</t>
  </si>
  <si>
    <t>01.01.-30.06.2019.</t>
  </si>
  <si>
    <t>01.01.-30.09.2019.</t>
  </si>
  <si>
    <t>01.01.-31.12.2019.</t>
  </si>
  <si>
    <t xml:space="preserve">*** </t>
  </si>
  <si>
    <t>01.05.2018.</t>
  </si>
  <si>
    <t>Доставно возило</t>
  </si>
  <si>
    <t>Путничка возила</t>
  </si>
  <si>
    <t>Шумски мулчер</t>
  </si>
  <si>
    <t>Плотер</t>
  </si>
  <si>
    <t>Инвалидска пензија</t>
  </si>
  <si>
    <t>Уговор о раду</t>
  </si>
  <si>
    <t>Раскид уговора</t>
  </si>
  <si>
    <t>Уговор о ПП пословима</t>
  </si>
  <si>
    <t xml:space="preserve">  </t>
  </si>
  <si>
    <t xml:space="preserve">                                                                              </t>
  </si>
  <si>
    <t xml:space="preserve">                                                </t>
  </si>
  <si>
    <t xml:space="preserve">                                                                                                                                                                                                                                                                                                                                                                                                                                                 </t>
  </si>
  <si>
    <t xml:space="preserve">                                                                                                                                                                                                                                                       </t>
  </si>
  <si>
    <t>БИЛАНС УСПЕХА за период 01.01 - 30.09.2019.</t>
  </si>
  <si>
    <t xml:space="preserve"> 01.01 - 30.09.2019</t>
  </si>
  <si>
    <t>БИЛАНС СТАЊА  на дан 30.09.2019.</t>
  </si>
  <si>
    <t>01.01. - 30.09.2019.</t>
  </si>
  <si>
    <t>Индекс 
 реализација                    01.01. -30.09/                   план 01.01.-30.09.</t>
  </si>
  <si>
    <t>у периоду од 01.01. до 30.09.2019. године</t>
  </si>
  <si>
    <t>Индекс 
 реализација                    01.01. -30.09.2019/                   план 01.01. -30.09.2019</t>
  </si>
  <si>
    <t>Индекс реализација 30.09.2019. /                  план 30.09.2019.</t>
  </si>
  <si>
    <t>Индекс 
 реализација 01.01. -30.09.2019/                           план 01.01. - 30.09.2019.</t>
  </si>
  <si>
    <t>Стање на дан 30.09.2019.</t>
  </si>
  <si>
    <t>Индекс 
 реализација 01.01. -30.09.2019.                  план 01.01. -30.09.2019.</t>
  </si>
  <si>
    <t>Стање кредитне задужености 
30.09.2019. године у динарима</t>
  </si>
  <si>
    <t>Стање кредитне задужености 
на 30.09.2019.године у оригиналној валути</t>
  </si>
  <si>
    <t>Стање на дан 30.06.2019.</t>
  </si>
  <si>
    <t>Превремена пензија</t>
  </si>
  <si>
    <t>Дробилица за грање са сопственим погоном</t>
  </si>
  <si>
    <t>Пнеуматски чекић</t>
  </si>
  <si>
    <t>Лиценце за софтвер</t>
  </si>
  <si>
    <t>Датум: 29.10.2019.</t>
  </si>
  <si>
    <t xml:space="preserve">Датум: 29.10.2019. </t>
  </si>
  <si>
    <t xml:space="preserve">Датум:   29.10.2019.                                                                                                                                  </t>
  </si>
  <si>
    <t xml:space="preserve">Датум: 29.10.2019.                                                                                                                                         </t>
  </si>
  <si>
    <t>29.10.2019.</t>
  </si>
  <si>
    <t>Датум:29.10.2019.</t>
  </si>
</sst>
</file>

<file path=xl/styles.xml><?xml version="1.0" encoding="utf-8"?>
<styleSheet xmlns="http://schemas.openxmlformats.org/spreadsheetml/2006/main">
  <numFmts count="33">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dd/mm/yyyy/"/>
    <numFmt numFmtId="181" formatCode="###########"/>
    <numFmt numFmtId="182" formatCode="#,##0\ &quot;Din.&quot;"/>
    <numFmt numFmtId="183" formatCode="_-* #,##0.0\ _D_i_n_._-;\-* #,##0.0\ _D_i_n_._-;_-* &quot;-&quot;??\ _D_i_n_._-;_-@_-"/>
    <numFmt numFmtId="184" formatCode="_-* #,##0\ _D_i_n_._-;\-* #,##0\ _D_i_n_._-;_-* &quot;-&quot;??\ _D_i_n_._-;_-@_-"/>
    <numFmt numFmtId="185" formatCode="&quot;Yes&quot;;&quot;Yes&quot;;&quot;No&quot;"/>
    <numFmt numFmtId="186" formatCode="&quot;True&quot;;&quot;True&quot;;&quot;False&quot;"/>
    <numFmt numFmtId="187" formatCode="&quot;On&quot;;&quot;On&quot;;&quot;Off&quot;"/>
    <numFmt numFmtId="188" formatCode="[$€-2]\ #,##0.00_);[Red]\([$€-2]\ #,##0.00\)"/>
  </numFmts>
  <fonts count="69">
    <font>
      <sz val="11"/>
      <color theme="1"/>
      <name val="Calibri"/>
      <family val="2"/>
    </font>
    <font>
      <sz val="11"/>
      <color indexed="8"/>
      <name val="Calibri"/>
      <family val="2"/>
    </font>
    <font>
      <sz val="12"/>
      <name val="Times New Roman"/>
      <family val="1"/>
    </font>
    <font>
      <b/>
      <sz val="12"/>
      <name val="Times New Roman"/>
      <family val="1"/>
    </font>
    <font>
      <b/>
      <sz val="10"/>
      <name val="Arial"/>
      <family val="2"/>
    </font>
    <font>
      <b/>
      <sz val="12"/>
      <name val="Arial"/>
      <family val="2"/>
    </font>
    <font>
      <b/>
      <sz val="22"/>
      <name val="Times New Roman"/>
      <family val="1"/>
    </font>
    <font>
      <b/>
      <sz val="18"/>
      <name val="Times New Roman"/>
      <family val="1"/>
    </font>
    <font>
      <b/>
      <sz val="14"/>
      <name val="Times New Roman"/>
      <family val="1"/>
    </font>
    <font>
      <sz val="14"/>
      <name val="Times New Roman"/>
      <family val="1"/>
    </font>
    <font>
      <b/>
      <i/>
      <sz val="12"/>
      <name val="Times New Roman"/>
      <family val="1"/>
    </font>
    <font>
      <sz val="16"/>
      <name val="Times New Roman"/>
      <family val="1"/>
    </font>
    <font>
      <b/>
      <sz val="12"/>
      <color indexed="8"/>
      <name val="Times New Roman"/>
      <family val="1"/>
    </font>
    <font>
      <sz val="12"/>
      <color indexed="8"/>
      <name val="Times New Roman"/>
      <family val="1"/>
    </font>
    <font>
      <b/>
      <sz val="16"/>
      <name val="Times New Roman"/>
      <family val="1"/>
    </font>
    <font>
      <sz val="10"/>
      <name val="Arial"/>
      <family val="2"/>
    </font>
    <font>
      <b/>
      <sz val="11"/>
      <name val="Times New Roman"/>
      <family val="1"/>
    </font>
    <font>
      <sz val="12"/>
      <name val="Arial"/>
      <family val="2"/>
    </font>
    <font>
      <sz val="10"/>
      <name val="Times New Roman"/>
      <family val="1"/>
    </font>
    <font>
      <b/>
      <sz val="10"/>
      <name val="Times New Roman"/>
      <family val="1"/>
    </font>
    <font>
      <sz val="16"/>
      <name val="Arial"/>
      <family val="2"/>
    </font>
    <font>
      <b/>
      <sz val="24"/>
      <name val="Times New Roman"/>
      <family val="1"/>
    </font>
    <font>
      <sz val="9"/>
      <name val="Times New Roman"/>
      <family val="1"/>
    </font>
    <font>
      <b/>
      <sz val="9"/>
      <name val="Times New Roman"/>
      <family val="1"/>
    </font>
    <font>
      <b/>
      <sz val="9"/>
      <color indexed="8"/>
      <name val="Times New Roman"/>
      <family val="1"/>
    </font>
    <font>
      <sz val="9"/>
      <color indexed="8"/>
      <name val="Times New Roman"/>
      <family val="1"/>
    </font>
    <font>
      <sz val="20"/>
      <name val="Times New Roman"/>
      <family val="1"/>
    </font>
    <font>
      <b/>
      <sz val="20"/>
      <name val="Times New Roman"/>
      <family val="1"/>
    </font>
    <font>
      <sz val="20"/>
      <name val="Arial"/>
      <family val="2"/>
    </font>
    <font>
      <b/>
      <i/>
      <sz val="20"/>
      <name val="Times New Roman"/>
      <family val="1"/>
    </font>
    <font>
      <b/>
      <i/>
      <sz val="20"/>
      <name val="Arial"/>
      <family val="2"/>
    </font>
    <font>
      <b/>
      <sz val="20"/>
      <name val="Arial"/>
      <family val="2"/>
    </font>
    <font>
      <sz val="11"/>
      <color indexed="9"/>
      <name val="Calibri"/>
      <family val="2"/>
    </font>
    <font>
      <b/>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i/>
      <sz val="20"/>
      <color indexed="9"/>
      <name val="Times New Roman"/>
      <family val="1"/>
    </font>
    <font>
      <sz val="20"/>
      <color indexed="8"/>
      <name val="Calibri"/>
      <family val="2"/>
    </font>
    <font>
      <sz val="11"/>
      <color theme="0"/>
      <name val="Calibri"/>
      <family val="2"/>
    </font>
    <font>
      <b/>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2"/>
      <color theme="1"/>
      <name val="Times New Roman"/>
      <family val="1"/>
    </font>
    <font>
      <b/>
      <i/>
      <sz val="20"/>
      <color theme="0"/>
      <name val="Times New Roman"/>
      <family val="1"/>
    </font>
    <font>
      <sz val="2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1499900072813034"/>
        <bgColor indexed="64"/>
      </patternFill>
    </fill>
  </fills>
  <borders count="201">
    <border>
      <left/>
      <right/>
      <top/>
      <bottom/>
      <diagonal/>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color indexed="63"/>
      </right>
      <top style="medium">
        <color indexed="8"/>
      </top>
      <bottom>
        <color indexed="63"/>
      </bottom>
    </border>
    <border>
      <left style="thin">
        <color indexed="8"/>
      </left>
      <right style="thin">
        <color indexed="8"/>
      </right>
      <top style="medium">
        <color indexed="8"/>
      </top>
      <bottom style="medium">
        <color indexed="8"/>
      </bottom>
    </border>
    <border>
      <left style="medium">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thin"/>
      <right style="thin"/>
      <top style="thin"/>
      <bottom style="double"/>
    </border>
    <border>
      <left style="thin"/>
      <right style="medium"/>
      <top style="thin"/>
      <bottom style="double"/>
    </border>
    <border>
      <left style="thin"/>
      <right style="thin"/>
      <top style="double"/>
      <bottom style="thin"/>
    </border>
    <border>
      <left style="thin"/>
      <right style="medium"/>
      <top style="double"/>
      <bottom style="thin"/>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color indexed="63"/>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color indexed="63"/>
      </left>
      <right style="thin">
        <color indexed="8"/>
      </right>
      <top style="thin">
        <color indexed="8"/>
      </top>
      <bottom style="medium">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color indexed="63"/>
      </right>
      <top>
        <color indexed="63"/>
      </top>
      <bottom>
        <color indexed="63"/>
      </bottom>
    </border>
    <border>
      <left style="thin">
        <color indexed="8"/>
      </left>
      <right style="thin">
        <color indexed="8"/>
      </right>
      <top>
        <color indexed="63"/>
      </top>
      <bottom style="medium">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style="medium">
        <color indexed="8"/>
      </bottom>
    </border>
    <border>
      <left style="medium">
        <color indexed="8"/>
      </left>
      <right style="medium">
        <color indexed="8"/>
      </right>
      <top style="thin">
        <color indexed="8"/>
      </top>
      <bottom>
        <color indexed="63"/>
      </bottom>
    </border>
    <border>
      <left>
        <color indexed="63"/>
      </left>
      <right style="medium">
        <color indexed="8"/>
      </right>
      <top style="thin">
        <color indexed="8"/>
      </top>
      <bottom>
        <color indexed="63"/>
      </bottom>
    </border>
    <border>
      <left>
        <color indexed="63"/>
      </left>
      <right style="medium">
        <color indexed="8"/>
      </right>
      <top>
        <color indexed="63"/>
      </top>
      <bottom style="medium">
        <color indexed="8"/>
      </bottom>
    </border>
    <border>
      <left>
        <color indexed="63"/>
      </left>
      <right style="thin"/>
      <top style="thin"/>
      <bottom style="thin"/>
    </border>
    <border>
      <left>
        <color indexed="63"/>
      </left>
      <right>
        <color indexed="63"/>
      </right>
      <top style="thin"/>
      <bottom>
        <color indexed="63"/>
      </bottom>
    </border>
    <border>
      <left style="thin"/>
      <right style="thin"/>
      <top style="medium"/>
      <bottom style="thin"/>
    </border>
    <border>
      <left style="thin"/>
      <right style="thin"/>
      <top style="thin"/>
      <bottom>
        <color indexed="63"/>
      </bottom>
    </border>
    <border>
      <left style="thin"/>
      <right style="thin"/>
      <top>
        <color indexed="63"/>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style="thin">
        <color indexed="8"/>
      </left>
      <right style="medium">
        <color indexed="8"/>
      </right>
      <top>
        <color indexed="63"/>
      </top>
      <bottom>
        <color indexed="63"/>
      </bottom>
    </border>
    <border>
      <left>
        <color indexed="63"/>
      </left>
      <right>
        <color indexed="63"/>
      </right>
      <top>
        <color indexed="63"/>
      </top>
      <bottom style="thin"/>
    </border>
    <border>
      <left style="thin">
        <color indexed="8"/>
      </left>
      <right>
        <color indexed="63"/>
      </right>
      <top style="thin"/>
      <bottom style="medium">
        <color indexed="8"/>
      </bottom>
    </border>
    <border>
      <left>
        <color indexed="63"/>
      </left>
      <right>
        <color indexed="63"/>
      </right>
      <top style="thick"/>
      <bottom style="medium"/>
    </border>
    <border>
      <left style="medium"/>
      <right style="thin"/>
      <top style="thick"/>
      <bottom style="medium"/>
    </border>
    <border>
      <left style="thin"/>
      <right style="medium"/>
      <top style="thick"/>
      <bottom style="medium"/>
    </border>
    <border>
      <left style="thin"/>
      <right>
        <color indexed="63"/>
      </right>
      <top style="thick"/>
      <bottom style="medium"/>
    </border>
    <border>
      <left style="medium"/>
      <right>
        <color indexed="63"/>
      </right>
      <top style="thick"/>
      <bottom style="medium"/>
    </border>
    <border>
      <left style="hair"/>
      <right style="hair"/>
      <top style="thick"/>
      <bottom style="medium"/>
    </border>
    <border>
      <left>
        <color indexed="63"/>
      </left>
      <right style="medium"/>
      <top style="thick"/>
      <bottom style="medium"/>
    </border>
    <border>
      <left style="thin"/>
      <right style="thick"/>
      <top style="thick"/>
      <bottom style="medium"/>
    </border>
    <border>
      <left style="thick"/>
      <right>
        <color indexed="63"/>
      </right>
      <top style="medium"/>
      <bottom style="thin"/>
    </border>
    <border>
      <left>
        <color indexed="63"/>
      </left>
      <right>
        <color indexed="63"/>
      </right>
      <top style="medium"/>
      <bottom style="thin"/>
    </border>
    <border>
      <left style="medium"/>
      <right style="thin"/>
      <top style="medium"/>
      <bottom style="thin"/>
    </border>
    <border>
      <left style="thin"/>
      <right style="medium"/>
      <top style="medium"/>
      <bottom style="thin"/>
    </border>
    <border>
      <left style="thin"/>
      <right>
        <color indexed="63"/>
      </right>
      <top style="medium"/>
      <bottom style="thin"/>
    </border>
    <border>
      <left style="medium"/>
      <right>
        <color indexed="63"/>
      </right>
      <top style="medium"/>
      <bottom style="thin"/>
    </border>
    <border>
      <left style="hair"/>
      <right style="hair"/>
      <top style="medium"/>
      <bottom style="thin"/>
    </border>
    <border>
      <left style="thin"/>
      <right style="thick"/>
      <top style="medium"/>
      <bottom style="thin"/>
    </border>
    <border>
      <left style="medium"/>
      <right style="thin"/>
      <top style="thin"/>
      <bottom style="medium"/>
    </border>
    <border>
      <left style="thin"/>
      <right>
        <color indexed="63"/>
      </right>
      <top style="thin"/>
      <bottom style="medium"/>
    </border>
    <border>
      <left style="medium"/>
      <right>
        <color indexed="63"/>
      </right>
      <top style="thin"/>
      <bottom style="medium"/>
    </border>
    <border>
      <left style="hair"/>
      <right style="hair"/>
      <top style="thin"/>
      <bottom style="medium"/>
    </border>
    <border>
      <left>
        <color indexed="63"/>
      </left>
      <right>
        <color indexed="63"/>
      </right>
      <top style="thin"/>
      <bottom style="medium"/>
    </border>
    <border>
      <left style="thin"/>
      <right style="thick"/>
      <top style="thin"/>
      <bottom style="medium"/>
    </border>
    <border>
      <left style="thick"/>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style="hair"/>
      <right style="hair"/>
      <top>
        <color indexed="63"/>
      </top>
      <bottom>
        <color indexed="63"/>
      </bottom>
    </border>
    <border>
      <left style="medium"/>
      <right>
        <color indexed="63"/>
      </right>
      <top>
        <color indexed="63"/>
      </top>
      <bottom style="hair"/>
    </border>
    <border>
      <left style="thin"/>
      <right style="thick"/>
      <top>
        <color indexed="63"/>
      </top>
      <bottom style="hair"/>
    </border>
    <border>
      <left style="thick"/>
      <right>
        <color indexed="63"/>
      </right>
      <top style="hair"/>
      <bottom style="hair"/>
    </border>
    <border>
      <left>
        <color indexed="63"/>
      </left>
      <right>
        <color indexed="63"/>
      </right>
      <top style="hair"/>
      <bottom style="hair"/>
    </border>
    <border>
      <left style="medium"/>
      <right style="thin"/>
      <top style="hair"/>
      <bottom style="hair"/>
    </border>
    <border>
      <left style="thin"/>
      <right style="medium"/>
      <top style="hair"/>
      <bottom style="hair"/>
    </border>
    <border>
      <left style="thin"/>
      <right>
        <color indexed="63"/>
      </right>
      <top style="hair"/>
      <bottom style="hair"/>
    </border>
    <border>
      <left style="medium"/>
      <right>
        <color indexed="63"/>
      </right>
      <top style="hair"/>
      <bottom style="hair"/>
    </border>
    <border>
      <left style="hair"/>
      <right style="hair"/>
      <top style="hair"/>
      <bottom style="hair"/>
    </border>
    <border>
      <left style="thin"/>
      <right style="thick"/>
      <top style="hair"/>
      <bottom style="hair"/>
    </border>
    <border>
      <left>
        <color indexed="63"/>
      </left>
      <right style="medium"/>
      <top style="hair"/>
      <bottom style="hair"/>
    </border>
    <border>
      <left style="medium"/>
      <right style="thin"/>
      <top style="hair"/>
      <bottom>
        <color indexed="63"/>
      </bottom>
    </border>
    <border>
      <left style="thin"/>
      <right style="medium"/>
      <top style="hair"/>
      <bottom>
        <color indexed="63"/>
      </bottom>
    </border>
    <border>
      <left style="thin"/>
      <right>
        <color indexed="63"/>
      </right>
      <top style="hair"/>
      <bottom>
        <color indexed="63"/>
      </bottom>
    </border>
    <border>
      <left style="medium"/>
      <right>
        <color indexed="63"/>
      </right>
      <top style="hair"/>
      <bottom>
        <color indexed="63"/>
      </bottom>
    </border>
    <border>
      <left style="hair"/>
      <right style="hair"/>
      <top style="hair"/>
      <bottom>
        <color indexed="63"/>
      </bottom>
    </border>
    <border>
      <left>
        <color indexed="63"/>
      </left>
      <right>
        <color indexed="63"/>
      </right>
      <top style="hair"/>
      <bottom>
        <color indexed="63"/>
      </bottom>
    </border>
    <border>
      <left style="thin"/>
      <right style="thick"/>
      <top style="hair"/>
      <bottom>
        <color indexed="63"/>
      </bottom>
    </border>
    <border>
      <left>
        <color indexed="63"/>
      </left>
      <right>
        <color indexed="63"/>
      </right>
      <top>
        <color indexed="63"/>
      </top>
      <bottom style="hair"/>
    </border>
    <border>
      <left style="medium"/>
      <right style="thin"/>
      <top>
        <color indexed="63"/>
      </top>
      <bottom style="hair"/>
    </border>
    <border>
      <left style="thin"/>
      <right style="medium"/>
      <top>
        <color indexed="63"/>
      </top>
      <bottom style="hair"/>
    </border>
    <border>
      <left style="thin"/>
      <right>
        <color indexed="63"/>
      </right>
      <top>
        <color indexed="63"/>
      </top>
      <bottom style="hair"/>
    </border>
    <border>
      <left style="hair"/>
      <right style="hair"/>
      <top>
        <color indexed="63"/>
      </top>
      <bottom style="hair"/>
    </border>
    <border>
      <left style="thick"/>
      <right>
        <color indexed="63"/>
      </right>
      <top style="hair"/>
      <bottom>
        <color indexed="63"/>
      </bottom>
    </border>
    <border>
      <left>
        <color indexed="63"/>
      </left>
      <right style="thin"/>
      <top style="hair"/>
      <bottom style="hair"/>
    </border>
    <border>
      <left>
        <color indexed="63"/>
      </left>
      <right style="thin"/>
      <top style="hair"/>
      <bottom>
        <color indexed="63"/>
      </bottom>
    </border>
    <border>
      <left style="thick"/>
      <right>
        <color indexed="63"/>
      </right>
      <top style="hair"/>
      <bottom style="thick"/>
    </border>
    <border>
      <left>
        <color indexed="63"/>
      </left>
      <right>
        <color indexed="63"/>
      </right>
      <top style="hair"/>
      <bottom style="thick"/>
    </border>
    <border>
      <left style="medium"/>
      <right style="thin"/>
      <top style="hair"/>
      <bottom style="thick"/>
    </border>
    <border>
      <left style="thin"/>
      <right style="medium"/>
      <top style="hair"/>
      <bottom style="thick"/>
    </border>
    <border>
      <left>
        <color indexed="63"/>
      </left>
      <right style="thin"/>
      <top style="hair"/>
      <bottom style="thick"/>
    </border>
    <border>
      <left style="thin"/>
      <right>
        <color indexed="63"/>
      </right>
      <top style="hair"/>
      <bottom style="thick"/>
    </border>
    <border>
      <left style="medium"/>
      <right>
        <color indexed="63"/>
      </right>
      <top style="hair"/>
      <bottom style="thick"/>
    </border>
    <border>
      <left style="hair"/>
      <right style="hair"/>
      <top style="hair"/>
      <bottom style="thick"/>
    </border>
    <border>
      <left style="thin"/>
      <right style="thick"/>
      <top style="hair"/>
      <bottom style="thick"/>
    </border>
    <border>
      <left style="thick"/>
      <right>
        <color indexed="63"/>
      </right>
      <top style="thick"/>
      <bottom style="hair"/>
    </border>
    <border>
      <left>
        <color indexed="63"/>
      </left>
      <right>
        <color indexed="63"/>
      </right>
      <top style="thick"/>
      <bottom style="hair"/>
    </border>
    <border>
      <left style="medium"/>
      <right style="thin"/>
      <top style="thick"/>
      <bottom style="hair"/>
    </border>
    <border>
      <left style="thin"/>
      <right style="medium"/>
      <top style="thick"/>
      <bottom style="hair"/>
    </border>
    <border>
      <left>
        <color indexed="63"/>
      </left>
      <right style="thin"/>
      <top style="thick"/>
      <bottom style="hair"/>
    </border>
    <border>
      <left style="thin"/>
      <right>
        <color indexed="63"/>
      </right>
      <top style="thick"/>
      <bottom style="hair"/>
    </border>
    <border>
      <left style="medium"/>
      <right>
        <color indexed="63"/>
      </right>
      <top style="thick"/>
      <bottom style="hair"/>
    </border>
    <border>
      <left style="hair"/>
      <right style="hair"/>
      <top style="thick"/>
      <bottom style="hair"/>
    </border>
    <border>
      <left style="thin"/>
      <right style="thick"/>
      <top style="thick"/>
      <bottom style="hair"/>
    </border>
    <border>
      <left>
        <color indexed="63"/>
      </left>
      <right style="thin"/>
      <top style="medium"/>
      <bottom style="thin"/>
    </border>
    <border>
      <left style="thick"/>
      <right>
        <color indexed="63"/>
      </right>
      <top style="thin"/>
      <bottom style="thin"/>
    </border>
    <border>
      <left style="thin"/>
      <right style="thick"/>
      <top style="thin"/>
      <bottom style="thin"/>
    </border>
    <border>
      <left style="thin"/>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medium"/>
      <right style="thin"/>
      <top>
        <color indexed="63"/>
      </top>
      <bottom style="thick"/>
    </border>
    <border>
      <left style="thin"/>
      <right style="medium"/>
      <top>
        <color indexed="63"/>
      </top>
      <bottom style="thick"/>
    </border>
    <border>
      <left style="thin"/>
      <right>
        <color indexed="63"/>
      </right>
      <top>
        <color indexed="63"/>
      </top>
      <bottom style="thick"/>
    </border>
    <border>
      <left style="medium"/>
      <right>
        <color indexed="63"/>
      </right>
      <top>
        <color indexed="63"/>
      </top>
      <bottom style="thick"/>
    </border>
    <border>
      <left style="hair"/>
      <right style="hair"/>
      <top>
        <color indexed="63"/>
      </top>
      <bottom style="thick"/>
    </border>
    <border>
      <left style="thin"/>
      <right style="thick"/>
      <top>
        <color indexed="63"/>
      </top>
      <bottom style="thick"/>
    </border>
    <border>
      <left>
        <color indexed="63"/>
      </left>
      <right style="thin"/>
      <top style="thin"/>
      <bottom style="double"/>
    </border>
    <border>
      <left style="medium"/>
      <right style="thin"/>
      <top style="double"/>
      <bottom style="thin"/>
    </border>
    <border>
      <left>
        <color indexed="63"/>
      </left>
      <right style="thin"/>
      <top style="double"/>
      <bottom style="thin"/>
    </border>
    <border>
      <left style="medium"/>
      <right style="thin"/>
      <top style="thin"/>
      <bottom style="thin"/>
    </border>
    <border>
      <left style="medium"/>
      <right style="thin"/>
      <top>
        <color indexed="63"/>
      </top>
      <bottom style="thin"/>
    </border>
    <border>
      <left>
        <color indexed="63"/>
      </left>
      <right style="thin"/>
      <top>
        <color indexed="63"/>
      </top>
      <bottom style="thin"/>
    </border>
    <border>
      <left>
        <color indexed="63"/>
      </left>
      <right style="thin"/>
      <top style="thin"/>
      <bottom style="medium"/>
    </border>
    <border>
      <left>
        <color indexed="63"/>
      </left>
      <right style="thin"/>
      <top style="hair"/>
      <bottom style="thin"/>
    </border>
    <border>
      <left>
        <color indexed="63"/>
      </left>
      <right style="thin"/>
      <top>
        <color indexed="63"/>
      </top>
      <bottom style="hair"/>
    </border>
    <border>
      <left>
        <color indexed="63"/>
      </left>
      <right style="thin"/>
      <top>
        <color indexed="63"/>
      </top>
      <bottom>
        <color indexed="63"/>
      </bottom>
    </border>
    <border>
      <left>
        <color indexed="63"/>
      </left>
      <right style="thin"/>
      <top>
        <color indexed="63"/>
      </top>
      <bottom style="thick"/>
    </border>
    <border>
      <left style="thin"/>
      <right style="double"/>
      <top style="double"/>
      <bottom style="thin"/>
    </border>
    <border>
      <left style="thin"/>
      <right style="double"/>
      <top style="thin"/>
      <bottom style="thin"/>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medium">
        <color indexed="8"/>
      </left>
      <right style="thin">
        <color indexed="8"/>
      </right>
      <top>
        <color indexed="63"/>
      </top>
      <bottom>
        <color indexed="63"/>
      </bottom>
    </border>
    <border>
      <left style="thin">
        <color indexed="8"/>
      </left>
      <right>
        <color indexed="63"/>
      </right>
      <top style="medium">
        <color indexed="8"/>
      </top>
      <bottom style="thin">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color indexed="63"/>
      </bottom>
    </border>
    <border>
      <left style="thick"/>
      <right>
        <color indexed="63"/>
      </right>
      <top style="thick"/>
      <bottom style="medium"/>
    </border>
    <border>
      <left style="thick"/>
      <right>
        <color indexed="63"/>
      </right>
      <top style="thin"/>
      <bottom style="medium"/>
    </border>
    <border>
      <left style="medium"/>
      <right style="thin"/>
      <top style="thin"/>
      <bottom style="double"/>
    </border>
    <border>
      <left style="thin"/>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thin"/>
      <right>
        <color indexed="63"/>
      </right>
      <top>
        <color indexed="63"/>
      </top>
      <bottom style="double"/>
    </border>
    <border>
      <left>
        <color indexed="63"/>
      </left>
      <right style="double"/>
      <top>
        <color indexed="63"/>
      </top>
      <bottom style="double"/>
    </border>
    <border>
      <left>
        <color indexed="63"/>
      </left>
      <right style="double"/>
      <top style="thin"/>
      <bottom style="thin"/>
    </border>
    <border>
      <left style="thin"/>
      <right>
        <color indexed="63"/>
      </right>
      <top>
        <color indexed="63"/>
      </top>
      <bottom style="thin"/>
    </border>
    <border>
      <left>
        <color indexed="63"/>
      </left>
      <right style="double"/>
      <top>
        <color indexed="63"/>
      </top>
      <bottom style="thin"/>
    </border>
    <border>
      <left>
        <color indexed="63"/>
      </left>
      <right style="double"/>
      <top style="thin"/>
      <bottom style="medium"/>
    </border>
    <border>
      <left style="medium">
        <color indexed="8"/>
      </left>
      <right style="medium">
        <color indexed="8"/>
      </right>
      <top style="medium">
        <color indexed="8"/>
      </top>
      <bottom>
        <color indexed="63"/>
      </bottom>
    </border>
    <border diagonalUp="1">
      <left style="medium">
        <color indexed="8"/>
      </left>
      <right style="thin">
        <color indexed="8"/>
      </right>
      <top style="medium">
        <color indexed="8"/>
      </top>
      <bottom style="medium">
        <color indexed="8"/>
      </bottom>
      <diagonal style="thin">
        <color indexed="8"/>
      </diagonal>
    </border>
    <border>
      <left style="medium">
        <color indexed="8"/>
      </left>
      <right>
        <color indexed="63"/>
      </right>
      <top style="medium">
        <color indexed="8"/>
      </top>
      <bottom style="medium">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0" fillId="26" borderId="1" applyNumberFormat="0" applyFont="0" applyAlignment="0" applyProtection="0"/>
    <xf numFmtId="0" fontId="51" fillId="27" borderId="2" applyNumberFormat="0" applyAlignment="0" applyProtection="0"/>
    <xf numFmtId="0" fontId="52" fillId="28" borderId="0" applyNumberFormat="0" applyBorder="0" applyAlignment="0" applyProtection="0"/>
    <xf numFmtId="0" fontId="53" fillId="29" borderId="3" applyNumberFormat="0" applyAlignment="0" applyProtection="0"/>
    <xf numFmtId="0" fontId="54" fillId="29" borderId="4" applyNumberFormat="0" applyAlignment="0" applyProtection="0"/>
    <xf numFmtId="0" fontId="55" fillId="30"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31" borderId="0" applyNumberFormat="0" applyBorder="0" applyAlignment="0" applyProtection="0"/>
    <xf numFmtId="0" fontId="15" fillId="0" borderId="0">
      <alignment/>
      <protection/>
    </xf>
    <xf numFmtId="0" fontId="0" fillId="0" borderId="0">
      <alignment/>
      <protection/>
    </xf>
    <xf numFmtId="0" fontId="61" fillId="0" borderId="8" applyNumberFormat="0" applyFill="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32" borderId="4"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07">
    <xf numFmtId="0" fontId="0" fillId="0" borderId="0" xfId="0" applyFont="1" applyAlignment="1">
      <alignment/>
    </xf>
    <xf numFmtId="0" fontId="2" fillId="0" borderId="0" xfId="0" applyFont="1" applyAlignment="1">
      <alignment/>
    </xf>
    <xf numFmtId="0" fontId="3" fillId="0" borderId="0" xfId="0" applyFont="1" applyAlignment="1">
      <alignment horizontal="center"/>
    </xf>
    <xf numFmtId="3"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3" fontId="5" fillId="0" borderId="0" xfId="0" applyNumberFormat="1" applyFont="1" applyAlignment="1">
      <alignment horizontal="center"/>
    </xf>
    <xf numFmtId="3" fontId="3" fillId="0" borderId="0" xfId="0" applyNumberFormat="1" applyFont="1" applyFill="1" applyAlignment="1">
      <alignment horizontal="center"/>
    </xf>
    <xf numFmtId="0" fontId="3" fillId="0" borderId="0" xfId="0" applyFont="1" applyFill="1" applyAlignment="1">
      <alignment horizontal="center"/>
    </xf>
    <xf numFmtId="0" fontId="7" fillId="0" borderId="0" xfId="0" applyFont="1" applyAlignment="1">
      <alignment horizont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3" fontId="3" fillId="0" borderId="13"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Fill="1" applyBorder="1" applyAlignment="1">
      <alignment horizontal="center" wrapText="1"/>
    </xf>
    <xf numFmtId="0" fontId="8" fillId="0" borderId="16" xfId="0" applyFont="1" applyFill="1" applyBorder="1" applyAlignment="1">
      <alignment wrapText="1"/>
    </xf>
    <xf numFmtId="0" fontId="3" fillId="0" borderId="16" xfId="0" applyFont="1" applyFill="1" applyBorder="1" applyAlignment="1">
      <alignment horizontal="center" wrapText="1"/>
    </xf>
    <xf numFmtId="3" fontId="3" fillId="0" borderId="16"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0" fontId="3" fillId="33" borderId="15" xfId="0" applyFont="1" applyFill="1" applyBorder="1" applyAlignment="1">
      <alignment horizontal="center" wrapText="1"/>
    </xf>
    <xf numFmtId="0" fontId="8" fillId="33" borderId="16" xfId="0" applyFont="1" applyFill="1" applyBorder="1" applyAlignment="1">
      <alignment wrapText="1"/>
    </xf>
    <xf numFmtId="0" fontId="3" fillId="33" borderId="16" xfId="0" applyFont="1" applyFill="1" applyBorder="1" applyAlignment="1">
      <alignment horizontal="center" wrapText="1"/>
    </xf>
    <xf numFmtId="3" fontId="3" fillId="0" borderId="16" xfId="0" applyNumberFormat="1" applyFont="1" applyFill="1" applyBorder="1" applyAlignment="1">
      <alignment horizontal="center" vertical="center" wrapText="1"/>
    </xf>
    <xf numFmtId="0" fontId="2" fillId="0" borderId="15" xfId="0" applyFont="1" applyFill="1" applyBorder="1" applyAlignment="1">
      <alignment horizontal="center" wrapText="1"/>
    </xf>
    <xf numFmtId="0" fontId="9" fillId="0" borderId="16" xfId="0" applyFont="1" applyFill="1" applyBorder="1" applyAlignment="1">
      <alignment wrapText="1"/>
    </xf>
    <xf numFmtId="0" fontId="2" fillId="0" borderId="16" xfId="0" applyFont="1" applyFill="1" applyBorder="1" applyAlignment="1">
      <alignment horizontal="center" wrapText="1"/>
    </xf>
    <xf numFmtId="3" fontId="10" fillId="0" borderId="16" xfId="0" applyNumberFormat="1" applyFont="1" applyFill="1" applyBorder="1" applyAlignment="1">
      <alignment horizontal="center" vertical="center" wrapText="1"/>
    </xf>
    <xf numFmtId="0" fontId="9" fillId="0" borderId="0" xfId="0" applyFont="1" applyAlignment="1">
      <alignment horizontal="left" vertical="center" wrapText="1"/>
    </xf>
    <xf numFmtId="3" fontId="3" fillId="33" borderId="16" xfId="0" applyNumberFormat="1" applyFont="1" applyFill="1" applyBorder="1" applyAlignment="1">
      <alignment horizontal="center" vertical="center" wrapText="1"/>
    </xf>
    <xf numFmtId="3" fontId="3" fillId="33" borderId="16" xfId="0" applyNumberFormat="1" applyFont="1" applyFill="1" applyBorder="1" applyAlignment="1">
      <alignment horizontal="center" vertical="center" wrapText="1"/>
    </xf>
    <xf numFmtId="0" fontId="2" fillId="34" borderId="16" xfId="0" applyFont="1" applyFill="1" applyBorder="1" applyAlignment="1">
      <alignment horizontal="center" wrapText="1"/>
    </xf>
    <xf numFmtId="3" fontId="3" fillId="0" borderId="16" xfId="0" applyNumberFormat="1" applyFont="1" applyBorder="1" applyAlignment="1">
      <alignment horizontal="center"/>
    </xf>
    <xf numFmtId="0" fontId="3" fillId="34" borderId="16" xfId="0" applyFont="1" applyFill="1" applyBorder="1" applyAlignment="1">
      <alignment horizontal="center" wrapText="1"/>
    </xf>
    <xf numFmtId="3" fontId="3" fillId="0" borderId="16" xfId="0" applyNumberFormat="1" applyFont="1" applyBorder="1" applyAlignment="1">
      <alignment horizontal="center" vertical="center"/>
    </xf>
    <xf numFmtId="0" fontId="2" fillId="34" borderId="15" xfId="0" applyFont="1" applyFill="1" applyBorder="1" applyAlignment="1">
      <alignment horizontal="center" wrapText="1"/>
    </xf>
    <xf numFmtId="0" fontId="9" fillId="34" borderId="16" xfId="0" applyFont="1" applyFill="1" applyBorder="1" applyAlignment="1">
      <alignment wrapText="1"/>
    </xf>
    <xf numFmtId="0" fontId="3" fillId="33" borderId="15" xfId="0" applyFont="1" applyFill="1" applyBorder="1" applyAlignment="1">
      <alignment wrapText="1"/>
    </xf>
    <xf numFmtId="0" fontId="8" fillId="33" borderId="16" xfId="0" applyFont="1" applyFill="1" applyBorder="1" applyAlignment="1">
      <alignment horizontal="left" wrapText="1"/>
    </xf>
    <xf numFmtId="0" fontId="9" fillId="0" borderId="16" xfId="0" applyFont="1" applyFill="1" applyBorder="1" applyAlignment="1">
      <alignment horizontal="left" wrapText="1"/>
    </xf>
    <xf numFmtId="0" fontId="2" fillId="0" borderId="15" xfId="0" applyFont="1" applyFill="1" applyBorder="1" applyAlignment="1">
      <alignment wrapText="1"/>
    </xf>
    <xf numFmtId="0" fontId="2" fillId="0" borderId="18" xfId="0" applyFont="1" applyFill="1" applyBorder="1" applyAlignment="1">
      <alignment wrapText="1"/>
    </xf>
    <xf numFmtId="0" fontId="9" fillId="0" borderId="10" xfId="0" applyFont="1" applyFill="1" applyBorder="1" applyAlignment="1">
      <alignment horizontal="left" wrapText="1"/>
    </xf>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0" fontId="3" fillId="0" borderId="19" xfId="0" applyFont="1" applyBorder="1" applyAlignment="1">
      <alignment horizontal="center"/>
    </xf>
    <xf numFmtId="0" fontId="8" fillId="0" borderId="0" xfId="0" applyFont="1" applyBorder="1" applyAlignment="1">
      <alignment horizontal="center"/>
    </xf>
    <xf numFmtId="3" fontId="3" fillId="0" borderId="0" xfId="0" applyNumberFormat="1" applyFont="1" applyBorder="1" applyAlignment="1">
      <alignment horizontal="center" vertical="center" wrapText="1"/>
    </xf>
    <xf numFmtId="0" fontId="8" fillId="0" borderId="0" xfId="0" applyFont="1" applyAlignment="1">
      <alignment horizontal="center"/>
    </xf>
    <xf numFmtId="0" fontId="8" fillId="0" borderId="0" xfId="0" applyFont="1" applyBorder="1" applyAlignment="1">
      <alignment horizontal="center" vertical="center" wrapText="1"/>
    </xf>
    <xf numFmtId="0" fontId="9" fillId="0" borderId="0" xfId="0" applyFont="1" applyBorder="1" applyAlignment="1">
      <alignment horizontal="center"/>
    </xf>
    <xf numFmtId="0" fontId="8" fillId="0" borderId="0" xfId="0" applyFont="1" applyAlignment="1">
      <alignment/>
    </xf>
    <xf numFmtId="0" fontId="2" fillId="0" borderId="0" xfId="0" applyFont="1" applyAlignment="1">
      <alignment vertical="center"/>
    </xf>
    <xf numFmtId="0" fontId="2" fillId="0" borderId="0" xfId="0" applyFont="1" applyAlignment="1">
      <alignment horizontal="center"/>
    </xf>
    <xf numFmtId="180" fontId="3" fillId="0" borderId="0" xfId="0" applyNumberFormat="1" applyFont="1" applyBorder="1" applyAlignment="1">
      <alignment horizontal="center" vertical="center" wrapText="1"/>
    </xf>
    <xf numFmtId="180" fontId="3" fillId="0" borderId="0" xfId="0" applyNumberFormat="1" applyFont="1" applyAlignment="1">
      <alignment horizontal="center" vertical="center"/>
    </xf>
    <xf numFmtId="0" fontId="9" fillId="0" borderId="12" xfId="0" applyFont="1" applyFill="1" applyBorder="1" applyAlignment="1">
      <alignment horizontal="center" vertical="center"/>
    </xf>
    <xf numFmtId="0" fontId="8" fillId="0" borderId="13" xfId="0" applyFont="1" applyFill="1" applyBorder="1" applyAlignment="1">
      <alignment vertical="center" wrapText="1"/>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8" fillId="0" borderId="16" xfId="0" applyFont="1" applyFill="1" applyBorder="1" applyAlignment="1">
      <alignment vertical="center" wrapText="1"/>
    </xf>
    <xf numFmtId="49" fontId="9" fillId="0" borderId="16" xfId="0" applyNumberFormat="1" applyFont="1" applyFill="1" applyBorder="1" applyAlignment="1">
      <alignment horizontal="center" vertical="center"/>
    </xf>
    <xf numFmtId="0" fontId="9" fillId="0" borderId="16" xfId="0" applyFont="1" applyFill="1" applyBorder="1" applyAlignment="1">
      <alignment vertical="center" wrapText="1"/>
    </xf>
    <xf numFmtId="0" fontId="9" fillId="0" borderId="15"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5" xfId="0" applyFont="1" applyFill="1" applyBorder="1" applyAlignment="1">
      <alignment horizontal="center" vertical="center" wrapText="1"/>
    </xf>
    <xf numFmtId="0" fontId="9" fillId="0" borderId="16" xfId="0" applyFont="1" applyFill="1" applyBorder="1" applyAlignment="1">
      <alignment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0" xfId="0" applyFont="1" applyFill="1" applyBorder="1" applyAlignment="1">
      <alignment vertical="center" wrapText="1"/>
    </xf>
    <xf numFmtId="49" fontId="9" fillId="0" borderId="10"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9"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4" fontId="3" fillId="0" borderId="0" xfId="0" applyNumberFormat="1" applyFont="1" applyAlignment="1">
      <alignment horizontal="right"/>
    </xf>
    <xf numFmtId="0" fontId="2" fillId="0" borderId="0" xfId="0" applyFont="1" applyAlignment="1">
      <alignment vertical="center"/>
    </xf>
    <xf numFmtId="4" fontId="2" fillId="0" borderId="0" xfId="0" applyNumberFormat="1" applyFont="1" applyAlignment="1">
      <alignment/>
    </xf>
    <xf numFmtId="4" fontId="11" fillId="0" borderId="0" xfId="0" applyNumberFormat="1" applyFont="1" applyAlignment="1">
      <alignment horizontal="right"/>
    </xf>
    <xf numFmtId="0" fontId="3" fillId="0" borderId="2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12" fillId="0" borderId="12" xfId="0" applyFont="1" applyBorder="1" applyAlignment="1">
      <alignment vertical="center" wrapText="1"/>
    </xf>
    <xf numFmtId="0" fontId="13" fillId="0" borderId="13" xfId="0" applyFont="1" applyBorder="1" applyAlignment="1">
      <alignment horizontal="center" vertical="center" wrapText="1"/>
    </xf>
    <xf numFmtId="3" fontId="3" fillId="0" borderId="13" xfId="0" applyNumberFormat="1" applyFont="1" applyBorder="1" applyAlignment="1">
      <alignment horizontal="center" vertical="center" wrapText="1"/>
    </xf>
    <xf numFmtId="4" fontId="3" fillId="0" borderId="14"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12" fillId="0" borderId="15" xfId="0" applyFont="1" applyBorder="1" applyAlignment="1">
      <alignment vertical="center" wrapText="1"/>
    </xf>
    <xf numFmtId="0" fontId="13" fillId="0" borderId="16" xfId="0" applyFont="1" applyBorder="1" applyAlignment="1">
      <alignment horizontal="center" vertical="center" wrapText="1"/>
    </xf>
    <xf numFmtId="3" fontId="2" fillId="0" borderId="16" xfId="0" applyNumberFormat="1" applyFont="1" applyBorder="1" applyAlignment="1">
      <alignment horizontal="center" wrapText="1"/>
    </xf>
    <xf numFmtId="4" fontId="3" fillId="0" borderId="17" xfId="0" applyNumberFormat="1" applyFont="1" applyBorder="1" applyAlignment="1">
      <alignment horizontal="center" vertical="center" wrapText="1"/>
    </xf>
    <xf numFmtId="0" fontId="13" fillId="0" borderId="15" xfId="0" applyFont="1" applyBorder="1" applyAlignment="1">
      <alignment vertical="center" wrapText="1"/>
    </xf>
    <xf numFmtId="0" fontId="2" fillId="0" borderId="21" xfId="0" applyFont="1" applyBorder="1" applyAlignment="1">
      <alignment horizontal="center" vertical="center" wrapText="1"/>
    </xf>
    <xf numFmtId="3" fontId="2" fillId="0" borderId="16" xfId="0" applyNumberFormat="1" applyFont="1" applyBorder="1" applyAlignment="1">
      <alignment horizontal="center"/>
    </xf>
    <xf numFmtId="0" fontId="2" fillId="0" borderId="18" xfId="0" applyFont="1" applyBorder="1" applyAlignment="1">
      <alignment horizontal="center" vertical="center" wrapText="1"/>
    </xf>
    <xf numFmtId="0" fontId="12" fillId="0" borderId="18" xfId="0" applyFont="1" applyBorder="1" applyAlignment="1">
      <alignment vertical="center" wrapText="1"/>
    </xf>
    <xf numFmtId="0" fontId="13" fillId="0" borderId="10" xfId="0" applyFont="1" applyBorder="1" applyAlignment="1">
      <alignment horizontal="center" vertical="center" wrapText="1"/>
    </xf>
    <xf numFmtId="3" fontId="2" fillId="0" borderId="10" xfId="0" applyNumberFormat="1" applyFont="1" applyBorder="1" applyAlignment="1">
      <alignment horizontal="center"/>
    </xf>
    <xf numFmtId="3" fontId="2" fillId="0" borderId="0" xfId="0" applyNumberFormat="1" applyFont="1" applyAlignment="1">
      <alignment horizontal="center"/>
    </xf>
    <xf numFmtId="4" fontId="3" fillId="0" borderId="0" xfId="0" applyNumberFormat="1" applyFont="1" applyAlignment="1">
      <alignment horizontal="center"/>
    </xf>
    <xf numFmtId="3" fontId="0" fillId="0" borderId="0" xfId="0" applyNumberFormat="1" applyAlignment="1">
      <alignment horizontal="center"/>
    </xf>
    <xf numFmtId="0" fontId="0" fillId="0" borderId="0" xfId="0" applyAlignment="1">
      <alignment horizontal="center"/>
    </xf>
    <xf numFmtId="4" fontId="0" fillId="0" borderId="0" xfId="0" applyNumberFormat="1" applyAlignment="1">
      <alignment horizontal="center"/>
    </xf>
    <xf numFmtId="4" fontId="9" fillId="0" borderId="0" xfId="0" applyNumberFormat="1" applyFont="1" applyAlignment="1">
      <alignment horizontal="center"/>
    </xf>
    <xf numFmtId="0" fontId="16" fillId="0" borderId="10" xfId="0" applyFont="1" applyFill="1" applyBorder="1" applyAlignment="1">
      <alignment horizontal="center" vertical="center" wrapText="1"/>
    </xf>
    <xf numFmtId="0" fontId="16" fillId="0" borderId="22" xfId="0" applyFont="1" applyFill="1" applyBorder="1" applyAlignment="1">
      <alignment horizontal="center" vertical="center" wrapText="1"/>
    </xf>
    <xf numFmtId="49" fontId="9" fillId="34" borderId="12" xfId="51" applyNumberFormat="1" applyFont="1" applyFill="1" applyBorder="1" applyAlignment="1">
      <alignment horizontal="center"/>
      <protection/>
    </xf>
    <xf numFmtId="0" fontId="9" fillId="34" borderId="13" xfId="51" applyFont="1" applyFill="1" applyBorder="1" applyAlignment="1">
      <alignment horizontal="left" vertical="center" wrapText="1"/>
      <protection/>
    </xf>
    <xf numFmtId="3" fontId="9" fillId="0" borderId="13" xfId="0" applyNumberFormat="1" applyFont="1" applyBorder="1" applyAlignment="1">
      <alignment horizontal="center" vertical="center" wrapText="1"/>
    </xf>
    <xf numFmtId="4" fontId="9" fillId="0" borderId="14" xfId="0" applyNumberFormat="1" applyFont="1" applyBorder="1" applyAlignment="1">
      <alignment horizontal="center" vertical="center" wrapText="1"/>
    </xf>
    <xf numFmtId="49" fontId="9" fillId="34" borderId="15" xfId="51" applyNumberFormat="1" applyFont="1" applyFill="1" applyBorder="1" applyAlignment="1">
      <alignment horizontal="center"/>
      <protection/>
    </xf>
    <xf numFmtId="0" fontId="9" fillId="34" borderId="16" xfId="51" applyFont="1" applyFill="1" applyBorder="1" applyAlignment="1">
      <alignment horizontal="left" vertical="center" wrapText="1"/>
      <protection/>
    </xf>
    <xf numFmtId="3" fontId="9" fillId="0" borderId="16" xfId="0" applyNumberFormat="1" applyFont="1" applyBorder="1" applyAlignment="1">
      <alignment horizontal="center" vertical="center" wrapText="1"/>
    </xf>
    <xf numFmtId="4" fontId="9" fillId="0" borderId="17" xfId="0" applyNumberFormat="1" applyFont="1" applyBorder="1" applyAlignment="1">
      <alignment horizontal="center" vertical="center" wrapText="1"/>
    </xf>
    <xf numFmtId="49" fontId="9" fillId="34" borderId="16" xfId="51" applyNumberFormat="1" applyFont="1" applyFill="1" applyBorder="1" applyAlignment="1">
      <alignment horizontal="center" vertical="center" wrapText="1"/>
      <protection/>
    </xf>
    <xf numFmtId="0" fontId="9" fillId="34" borderId="16" xfId="51" applyFont="1" applyFill="1" applyBorder="1" applyAlignment="1">
      <alignment/>
      <protection/>
    </xf>
    <xf numFmtId="3" fontId="9" fillId="0" borderId="16" xfId="0" applyNumberFormat="1" applyFont="1" applyBorder="1" applyAlignment="1">
      <alignment horizontal="center" vertical="center"/>
    </xf>
    <xf numFmtId="0" fontId="9" fillId="34" borderId="16" xfId="51" applyFont="1" applyFill="1" applyBorder="1" applyAlignment="1">
      <alignment horizontal="left" wrapText="1"/>
      <protection/>
    </xf>
    <xf numFmtId="0" fontId="9" fillId="34" borderId="16" xfId="51" applyFont="1" applyFill="1" applyBorder="1" applyAlignment="1">
      <alignment wrapText="1"/>
      <protection/>
    </xf>
    <xf numFmtId="3" fontId="9" fillId="0" borderId="16" xfId="0" applyNumberFormat="1" applyFont="1" applyFill="1" applyBorder="1" applyAlignment="1">
      <alignment horizontal="center" vertical="center" wrapText="1"/>
    </xf>
    <xf numFmtId="49" fontId="9" fillId="34" borderId="15" xfId="51" applyNumberFormat="1" applyFont="1" applyFill="1" applyBorder="1" applyAlignment="1">
      <alignment horizontal="center" vertical="center"/>
      <protection/>
    </xf>
    <xf numFmtId="0" fontId="9" fillId="34" borderId="10" xfId="51" applyFont="1" applyFill="1" applyBorder="1" applyAlignment="1">
      <alignment horizontal="left" wrapText="1"/>
      <protection/>
    </xf>
    <xf numFmtId="3" fontId="9" fillId="0" borderId="10" xfId="0" applyNumberFormat="1" applyFont="1" applyFill="1" applyBorder="1" applyAlignment="1">
      <alignment horizontal="center" vertical="center" wrapText="1"/>
    </xf>
    <xf numFmtId="4" fontId="9" fillId="0" borderId="22"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3" fontId="9" fillId="0" borderId="0" xfId="0" applyNumberFormat="1" applyFont="1" applyBorder="1" applyAlignment="1">
      <alignment horizontal="center" vertical="center" wrapText="1"/>
    </xf>
    <xf numFmtId="4" fontId="9" fillId="0" borderId="0" xfId="0" applyNumberFormat="1" applyFont="1" applyBorder="1" applyAlignment="1">
      <alignment horizontal="center" vertical="center" wrapText="1"/>
    </xf>
    <xf numFmtId="0" fontId="2" fillId="0" borderId="0" xfId="0" applyFont="1" applyBorder="1" applyAlignment="1">
      <alignment horizontal="left" vertical="center" wrapText="1"/>
    </xf>
    <xf numFmtId="3" fontId="2" fillId="0" borderId="0"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4" fontId="2" fillId="0" borderId="0" xfId="0" applyNumberFormat="1" applyFont="1" applyAlignment="1">
      <alignment horizontal="center"/>
    </xf>
    <xf numFmtId="0" fontId="3"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Border="1" applyAlignment="1">
      <alignment/>
    </xf>
    <xf numFmtId="0" fontId="17" fillId="0" borderId="0" xfId="0" applyFont="1" applyAlignment="1">
      <alignment/>
    </xf>
    <xf numFmtId="3" fontId="4" fillId="0" borderId="23" xfId="0" applyNumberFormat="1" applyFont="1" applyBorder="1" applyAlignment="1">
      <alignment horizontal="center" vertical="center"/>
    </xf>
    <xf numFmtId="3" fontId="4" fillId="0" borderId="24" xfId="0" applyNumberFormat="1" applyFont="1" applyBorder="1" applyAlignment="1">
      <alignment horizontal="center" vertical="center"/>
    </xf>
    <xf numFmtId="3" fontId="0" fillId="0" borderId="25" xfId="0" applyNumberFormat="1" applyBorder="1" applyAlignment="1">
      <alignment horizontal="right" vertical="center"/>
    </xf>
    <xf numFmtId="3" fontId="0" fillId="0" borderId="26" xfId="0" applyNumberFormat="1" applyBorder="1" applyAlignment="1">
      <alignment horizontal="right" vertical="center"/>
    </xf>
    <xf numFmtId="3" fontId="0" fillId="0" borderId="27" xfId="0" applyNumberFormat="1" applyBorder="1" applyAlignment="1">
      <alignment horizontal="right" vertical="center"/>
    </xf>
    <xf numFmtId="3" fontId="0" fillId="0" borderId="28" xfId="0" applyNumberFormat="1" applyBorder="1" applyAlignment="1">
      <alignment horizontal="right" vertical="center"/>
    </xf>
    <xf numFmtId="3" fontId="0" fillId="0" borderId="29" xfId="0" applyNumberFormat="1" applyBorder="1" applyAlignment="1">
      <alignment horizontal="right" vertical="center"/>
    </xf>
    <xf numFmtId="3" fontId="0" fillId="0" borderId="30" xfId="0" applyNumberFormat="1" applyBorder="1" applyAlignment="1">
      <alignment horizontal="right" vertical="center"/>
    </xf>
    <xf numFmtId="3" fontId="0" fillId="0" borderId="31" xfId="0" applyNumberFormat="1" applyBorder="1" applyAlignment="1">
      <alignment horizontal="right" vertical="center"/>
    </xf>
    <xf numFmtId="3" fontId="0" fillId="0" borderId="32" xfId="0" applyNumberFormat="1" applyBorder="1" applyAlignment="1">
      <alignment horizontal="right" vertical="center"/>
    </xf>
    <xf numFmtId="0" fontId="2" fillId="0" borderId="0" xfId="0" applyFont="1" applyAlignment="1">
      <alignment horizontal="right"/>
    </xf>
    <xf numFmtId="0" fontId="3" fillId="0" borderId="15" xfId="0" applyFont="1" applyBorder="1" applyAlignment="1">
      <alignmen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wrapText="1"/>
    </xf>
    <xf numFmtId="0" fontId="3" fillId="0" borderId="15" xfId="0" applyFont="1" applyBorder="1" applyAlignment="1">
      <alignment horizontal="center" vertical="center" wrapText="1"/>
    </xf>
    <xf numFmtId="0" fontId="2" fillId="0" borderId="15" xfId="0" applyFont="1" applyBorder="1" applyAlignment="1">
      <alignment horizontal="left" vertical="center"/>
    </xf>
    <xf numFmtId="3" fontId="2" fillId="0" borderId="16" xfId="0" applyNumberFormat="1" applyFont="1" applyBorder="1" applyAlignment="1">
      <alignment horizontal="center" vertical="center" wrapText="1"/>
    </xf>
    <xf numFmtId="3" fontId="2" fillId="0" borderId="16" xfId="0" applyNumberFormat="1" applyFont="1" applyFill="1" applyBorder="1" applyAlignment="1">
      <alignment horizontal="center" vertical="center" wrapText="1"/>
    </xf>
    <xf numFmtId="0" fontId="2" fillId="0" borderId="15" xfId="0" applyFont="1" applyBorder="1" applyAlignment="1">
      <alignment horizontal="left" wrapText="1"/>
    </xf>
    <xf numFmtId="0" fontId="2" fillId="0" borderId="18" xfId="0" applyFont="1" applyBorder="1" applyAlignment="1">
      <alignment horizontal="left" wrapText="1"/>
    </xf>
    <xf numFmtId="0" fontId="2" fillId="0" borderId="22" xfId="0" applyFont="1" applyBorder="1" applyAlignment="1">
      <alignment horizontal="center"/>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9" xfId="0" applyFont="1" applyBorder="1" applyAlignment="1">
      <alignment horizontal="right"/>
    </xf>
    <xf numFmtId="0" fontId="3" fillId="0" borderId="0" xfId="0" applyFont="1" applyFill="1" applyBorder="1" applyAlignment="1">
      <alignment vertical="center" wrapText="1"/>
    </xf>
    <xf numFmtId="0" fontId="2" fillId="0" borderId="15" xfId="0" applyFont="1" applyBorder="1" applyAlignment="1">
      <alignment horizontal="center" vertical="center"/>
    </xf>
    <xf numFmtId="0" fontId="2" fillId="0" borderId="17" xfId="0" applyFont="1" applyBorder="1" applyAlignment="1">
      <alignment horizontal="center" vertical="center" wrapText="1"/>
    </xf>
    <xf numFmtId="0" fontId="2" fillId="0" borderId="0" xfId="0" applyFont="1" applyBorder="1" applyAlignment="1">
      <alignment horizontal="center" vertical="center"/>
    </xf>
    <xf numFmtId="3" fontId="2" fillId="0" borderId="17" xfId="0" applyNumberFormat="1" applyFont="1" applyFill="1" applyBorder="1" applyAlignment="1">
      <alignment horizontal="center" vertical="center" wrapText="1"/>
    </xf>
    <xf numFmtId="0" fontId="2" fillId="0" borderId="0" xfId="0" applyFont="1" applyBorder="1" applyAlignment="1">
      <alignment/>
    </xf>
    <xf numFmtId="0" fontId="2" fillId="0" borderId="33" xfId="0" applyFont="1" applyBorder="1" applyAlignment="1">
      <alignment horizontal="left" wrapText="1"/>
    </xf>
    <xf numFmtId="3" fontId="2" fillId="0" borderId="17" xfId="0" applyNumberFormat="1" applyFont="1" applyBorder="1" applyAlignment="1">
      <alignment horizontal="center"/>
    </xf>
    <xf numFmtId="3" fontId="2" fillId="0" borderId="22" xfId="0" applyNumberFormat="1" applyFont="1" applyBorder="1" applyAlignment="1">
      <alignment horizontal="center"/>
    </xf>
    <xf numFmtId="0" fontId="2" fillId="0" borderId="17" xfId="0" applyFont="1" applyBorder="1" applyAlignment="1">
      <alignment/>
    </xf>
    <xf numFmtId="3" fontId="2" fillId="0" borderId="34" xfId="0" applyNumberFormat="1" applyFont="1" applyBorder="1" applyAlignment="1">
      <alignment horizontal="center"/>
    </xf>
    <xf numFmtId="0" fontId="2" fillId="0" borderId="35" xfId="0" applyFont="1" applyBorder="1" applyAlignment="1">
      <alignment/>
    </xf>
    <xf numFmtId="0" fontId="2" fillId="0" borderId="22" xfId="0" applyFont="1" applyBorder="1" applyAlignment="1">
      <alignment/>
    </xf>
    <xf numFmtId="0" fontId="2" fillId="0" borderId="36" xfId="0" applyFont="1" applyBorder="1" applyAlignment="1">
      <alignment horizontal="left" wrapText="1"/>
    </xf>
    <xf numFmtId="0" fontId="2" fillId="0" borderId="0" xfId="0" applyFont="1" applyBorder="1" applyAlignment="1">
      <alignment horizontal="left" wrapText="1"/>
    </xf>
    <xf numFmtId="0" fontId="2" fillId="0" borderId="0" xfId="0" applyFont="1" applyAlignment="1">
      <alignment/>
    </xf>
    <xf numFmtId="0" fontId="3" fillId="0" borderId="0" xfId="0" applyFont="1" applyBorder="1" applyAlignment="1">
      <alignment/>
    </xf>
    <xf numFmtId="0" fontId="3" fillId="0" borderId="0" xfId="0" applyFont="1" applyAlignment="1">
      <alignment/>
    </xf>
    <xf numFmtId="0" fontId="3" fillId="0" borderId="0" xfId="0" applyFont="1" applyBorder="1" applyAlignment="1">
      <alignment horizontal="center"/>
    </xf>
    <xf numFmtId="0" fontId="18" fillId="0" borderId="0" xfId="0" applyFont="1" applyBorder="1" applyAlignment="1">
      <alignment horizontal="right"/>
    </xf>
    <xf numFmtId="0" fontId="3" fillId="0" borderId="0" xfId="0" applyFont="1" applyBorder="1" applyAlignment="1">
      <alignment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3" fillId="0" borderId="0" xfId="0" applyFont="1" applyBorder="1" applyAlignment="1">
      <alignment horizontal="center" vertical="center" wrapText="1"/>
    </xf>
    <xf numFmtId="49" fontId="2" fillId="0" borderId="37" xfId="0" applyNumberFormat="1" applyFont="1" applyBorder="1" applyAlignment="1">
      <alignment horizontal="center" vertical="center"/>
    </xf>
    <xf numFmtId="0" fontId="18" fillId="0" borderId="38" xfId="0" applyFont="1" applyBorder="1" applyAlignment="1">
      <alignment horizontal="left" vertical="center" wrapText="1"/>
    </xf>
    <xf numFmtId="3" fontId="18" fillId="0" borderId="38" xfId="0" applyNumberFormat="1" applyFont="1" applyBorder="1" applyAlignment="1">
      <alignment horizontal="center" vertical="center" wrapText="1"/>
    </xf>
    <xf numFmtId="4" fontId="18" fillId="0" borderId="39" xfId="0" applyNumberFormat="1" applyFont="1" applyBorder="1" applyAlignment="1">
      <alignment horizontal="center" vertical="center" wrapText="1"/>
    </xf>
    <xf numFmtId="49" fontId="2" fillId="0" borderId="15" xfId="0" applyNumberFormat="1" applyFont="1" applyBorder="1" applyAlignment="1">
      <alignment horizontal="center" vertical="center"/>
    </xf>
    <xf numFmtId="0" fontId="18" fillId="0" borderId="16" xfId="0" applyFont="1" applyBorder="1" applyAlignment="1">
      <alignment horizontal="left" vertical="center" wrapText="1"/>
    </xf>
    <xf numFmtId="3" fontId="18" fillId="0" borderId="16" xfId="0" applyNumberFormat="1" applyFont="1" applyBorder="1" applyAlignment="1">
      <alignment horizontal="center" vertical="center" wrapText="1"/>
    </xf>
    <xf numFmtId="4" fontId="18"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xf>
    <xf numFmtId="0" fontId="18" fillId="0" borderId="10" xfId="0" applyFont="1" applyBorder="1" applyAlignment="1">
      <alignment horizontal="left" vertical="center" wrapText="1"/>
    </xf>
    <xf numFmtId="3" fontId="18" fillId="0" borderId="10" xfId="0" applyNumberFormat="1" applyFont="1" applyBorder="1" applyAlignment="1">
      <alignment horizontal="center" vertical="center" wrapText="1"/>
    </xf>
    <xf numFmtId="4" fontId="18" fillId="0" borderId="22" xfId="0" applyNumberFormat="1" applyFont="1" applyBorder="1" applyAlignment="1">
      <alignment horizontal="center" vertical="center" wrapText="1"/>
    </xf>
    <xf numFmtId="0" fontId="2" fillId="0" borderId="19" xfId="0" applyFont="1" applyBorder="1" applyAlignment="1">
      <alignment/>
    </xf>
    <xf numFmtId="49" fontId="3" fillId="0" borderId="0" xfId="0" applyNumberFormat="1" applyFont="1" applyAlignment="1">
      <alignment/>
    </xf>
    <xf numFmtId="0" fontId="3" fillId="0" borderId="40" xfId="0" applyFont="1" applyBorder="1" applyAlignment="1">
      <alignment horizontal="center" vertical="center"/>
    </xf>
    <xf numFmtId="0" fontId="3" fillId="0" borderId="41" xfId="0" applyFont="1" applyBorder="1" applyAlignment="1">
      <alignment horizontal="center" vertical="center" wrapText="1"/>
    </xf>
    <xf numFmtId="0" fontId="2" fillId="0" borderId="0" xfId="0" applyFont="1" applyAlignment="1">
      <alignment horizontal="center" vertical="center"/>
    </xf>
    <xf numFmtId="0" fontId="3" fillId="0" borderId="20" xfId="0" applyFont="1" applyBorder="1" applyAlignment="1">
      <alignment horizontal="center" vertical="center"/>
    </xf>
    <xf numFmtId="0" fontId="3" fillId="0" borderId="42" xfId="0" applyFont="1" applyBorder="1" applyAlignment="1">
      <alignment horizontal="center" vertical="center" wrapText="1"/>
    </xf>
    <xf numFmtId="3" fontId="2" fillId="0" borderId="16" xfId="0" applyNumberFormat="1" applyFont="1" applyBorder="1" applyAlignment="1">
      <alignment horizontal="center" vertical="center"/>
    </xf>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wrapText="1"/>
    </xf>
    <xf numFmtId="0" fontId="3" fillId="0" borderId="43" xfId="0" applyFont="1" applyBorder="1" applyAlignment="1">
      <alignment horizontal="center" vertical="center"/>
    </xf>
    <xf numFmtId="0" fontId="3" fillId="0" borderId="16" xfId="0" applyFont="1" applyBorder="1" applyAlignment="1">
      <alignment horizontal="center" vertical="center"/>
    </xf>
    <xf numFmtId="0" fontId="2" fillId="0" borderId="16" xfId="0" applyFont="1" applyBorder="1" applyAlignment="1">
      <alignment/>
    </xf>
    <xf numFmtId="0" fontId="2" fillId="0" borderId="34" xfId="0" applyFont="1" applyBorder="1" applyAlignment="1">
      <alignment/>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2" fillId="0" borderId="10" xfId="0" applyFont="1" applyBorder="1" applyAlignment="1">
      <alignment/>
    </xf>
    <xf numFmtId="0" fontId="2" fillId="0" borderId="19" xfId="0" applyFont="1" applyBorder="1" applyAlignment="1">
      <alignment/>
    </xf>
    <xf numFmtId="0" fontId="2" fillId="0" borderId="0" xfId="0" applyFont="1" applyAlignment="1">
      <alignment horizontal="center" wrapText="1"/>
    </xf>
    <xf numFmtId="0" fontId="2" fillId="0" borderId="0" xfId="0" applyFont="1" applyAlignment="1">
      <alignment vertical="top"/>
    </xf>
    <xf numFmtId="49" fontId="2" fillId="0" borderId="0" xfId="0" applyNumberFormat="1" applyFont="1" applyAlignment="1">
      <alignment/>
    </xf>
    <xf numFmtId="0" fontId="3" fillId="0" borderId="0" xfId="0" applyFont="1" applyAlignment="1">
      <alignment/>
    </xf>
    <xf numFmtId="0" fontId="3" fillId="0" borderId="1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7" xfId="0" applyFont="1" applyBorder="1" applyAlignment="1">
      <alignment/>
    </xf>
    <xf numFmtId="0" fontId="3" fillId="0" borderId="38" xfId="0" applyFont="1" applyBorder="1" applyAlignment="1">
      <alignment/>
    </xf>
    <xf numFmtId="0" fontId="2" fillId="0" borderId="38" xfId="0" applyFont="1" applyBorder="1" applyAlignment="1">
      <alignment/>
    </xf>
    <xf numFmtId="0" fontId="2" fillId="0" borderId="39" xfId="0" applyFont="1" applyBorder="1" applyAlignment="1">
      <alignment/>
    </xf>
    <xf numFmtId="0" fontId="2" fillId="0" borderId="16" xfId="0" applyFont="1" applyBorder="1" applyAlignment="1">
      <alignment horizontal="center" vertical="center"/>
    </xf>
    <xf numFmtId="3" fontId="2" fillId="0" borderId="17" xfId="0" applyNumberFormat="1" applyFont="1" applyBorder="1" applyAlignment="1">
      <alignment horizontal="center" vertical="center"/>
    </xf>
    <xf numFmtId="0" fontId="2" fillId="0" borderId="15"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8" xfId="0" applyFont="1" applyBorder="1" applyAlignment="1">
      <alignment/>
    </xf>
    <xf numFmtId="0" fontId="3" fillId="0" borderId="10" xfId="0" applyFont="1" applyBorder="1" applyAlignment="1">
      <alignment/>
    </xf>
    <xf numFmtId="0" fontId="10" fillId="0" borderId="40" xfId="0" applyFont="1" applyBorder="1" applyAlignment="1">
      <alignment/>
    </xf>
    <xf numFmtId="0" fontId="3" fillId="0" borderId="41" xfId="0" applyFont="1" applyBorder="1" applyAlignment="1">
      <alignment/>
    </xf>
    <xf numFmtId="0" fontId="10" fillId="0" borderId="36" xfId="0" applyFont="1" applyBorder="1" applyAlignment="1">
      <alignment/>
    </xf>
    <xf numFmtId="0" fontId="3" fillId="0" borderId="44" xfId="0" applyFont="1" applyBorder="1" applyAlignment="1">
      <alignment/>
    </xf>
    <xf numFmtId="0" fontId="3" fillId="0" borderId="0" xfId="0" applyFont="1" applyFill="1" applyBorder="1" applyAlignment="1">
      <alignment/>
    </xf>
    <xf numFmtId="0" fontId="2" fillId="0" borderId="0" xfId="0" applyFont="1" applyAlignment="1">
      <alignment horizontal="left"/>
    </xf>
    <xf numFmtId="0" fontId="11" fillId="0" borderId="0" xfId="0" applyFont="1" applyAlignment="1">
      <alignment/>
    </xf>
    <xf numFmtId="49" fontId="11" fillId="0" borderId="0" xfId="0" applyNumberFormat="1" applyFont="1" applyAlignment="1">
      <alignment/>
    </xf>
    <xf numFmtId="0" fontId="20" fillId="0" borderId="0" xfId="0" applyFont="1" applyAlignment="1">
      <alignment/>
    </xf>
    <xf numFmtId="0" fontId="14" fillId="0" borderId="0" xfId="0" applyFont="1" applyAlignment="1">
      <alignment horizontal="right"/>
    </xf>
    <xf numFmtId="0" fontId="14" fillId="0" borderId="0" xfId="0" applyFont="1" applyAlignment="1">
      <alignment/>
    </xf>
    <xf numFmtId="49" fontId="14" fillId="0" borderId="0" xfId="0" applyNumberFormat="1" applyFont="1" applyAlignment="1">
      <alignment/>
    </xf>
    <xf numFmtId="0" fontId="14" fillId="0" borderId="45" xfId="0" applyFont="1" applyBorder="1" applyAlignment="1">
      <alignment horizontal="center" vertical="center" wrapText="1"/>
    </xf>
    <xf numFmtId="49" fontId="14" fillId="0" borderId="46" xfId="0" applyNumberFormat="1" applyFont="1" applyBorder="1" applyAlignment="1">
      <alignment horizontal="center" vertical="center" wrapText="1"/>
    </xf>
    <xf numFmtId="0" fontId="14" fillId="0" borderId="20"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47" xfId="0" applyFont="1" applyBorder="1" applyAlignment="1">
      <alignment horizontal="center" vertical="center" wrapText="1"/>
    </xf>
    <xf numFmtId="49" fontId="14" fillId="0" borderId="48" xfId="0" applyNumberFormat="1" applyFont="1" applyBorder="1" applyAlignment="1">
      <alignment horizontal="center" vertical="center" wrapText="1"/>
    </xf>
    <xf numFmtId="0" fontId="14" fillId="0" borderId="38" xfId="0" applyFont="1" applyBorder="1" applyAlignment="1">
      <alignment horizontal="center" vertical="center" wrapText="1"/>
    </xf>
    <xf numFmtId="0" fontId="14" fillId="0" borderId="39" xfId="0" applyFont="1" applyBorder="1" applyAlignment="1">
      <alignment horizontal="center" vertical="center" wrapText="1"/>
    </xf>
    <xf numFmtId="49" fontId="11" fillId="0" borderId="43" xfId="0" applyNumberFormat="1" applyFont="1" applyBorder="1" applyAlignment="1">
      <alignment horizontal="center" vertical="center"/>
    </xf>
    <xf numFmtId="0" fontId="11" fillId="0" borderId="16" xfId="0" applyFont="1" applyBorder="1" applyAlignment="1">
      <alignment horizontal="center"/>
    </xf>
    <xf numFmtId="0" fontId="11" fillId="0" borderId="16" xfId="0" applyFont="1" applyBorder="1" applyAlignment="1">
      <alignment/>
    </xf>
    <xf numFmtId="4" fontId="11" fillId="0" borderId="16" xfId="0" applyNumberFormat="1" applyFont="1" applyBorder="1" applyAlignment="1">
      <alignment/>
    </xf>
    <xf numFmtId="49" fontId="11" fillId="0" borderId="49" xfId="0" applyNumberFormat="1" applyFont="1" applyBorder="1" applyAlignment="1">
      <alignment horizontal="center" vertical="center"/>
    </xf>
    <xf numFmtId="49" fontId="11" fillId="33" borderId="18" xfId="0" applyNumberFormat="1" applyFont="1" applyFill="1" applyBorder="1" applyAlignment="1">
      <alignment horizontal="center" vertical="center"/>
    </xf>
    <xf numFmtId="0" fontId="11" fillId="33" borderId="16" xfId="0" applyFont="1" applyFill="1" applyBorder="1" applyAlignment="1">
      <alignment/>
    </xf>
    <xf numFmtId="4" fontId="14" fillId="33" borderId="16" xfId="0" applyNumberFormat="1" applyFont="1" applyFill="1" applyBorder="1" applyAlignment="1">
      <alignment/>
    </xf>
    <xf numFmtId="49" fontId="11" fillId="0" borderId="48" xfId="0" applyNumberFormat="1" applyFont="1" applyBorder="1" applyAlignment="1">
      <alignment horizontal="center" vertical="center"/>
    </xf>
    <xf numFmtId="4" fontId="11" fillId="0" borderId="13" xfId="0" applyNumberFormat="1" applyFont="1" applyBorder="1" applyAlignment="1">
      <alignment horizontal="right"/>
    </xf>
    <xf numFmtId="4" fontId="11" fillId="0" borderId="16" xfId="0" applyNumberFormat="1" applyFont="1" applyBorder="1" applyAlignment="1">
      <alignment horizontal="right"/>
    </xf>
    <xf numFmtId="0" fontId="11" fillId="0" borderId="34" xfId="0" applyFont="1" applyBorder="1" applyAlignment="1">
      <alignment horizontal="center"/>
    </xf>
    <xf numFmtId="0" fontId="11" fillId="0" borderId="34" xfId="0" applyFont="1" applyBorder="1" applyAlignment="1">
      <alignment/>
    </xf>
    <xf numFmtId="4" fontId="11" fillId="0" borderId="50" xfId="0" applyNumberFormat="1" applyFont="1" applyBorder="1" applyAlignment="1">
      <alignment horizontal="right"/>
    </xf>
    <xf numFmtId="49" fontId="11" fillId="0" borderId="27" xfId="0" applyNumberFormat="1" applyFont="1" applyBorder="1" applyAlignment="1">
      <alignment horizontal="center" vertical="center"/>
    </xf>
    <xf numFmtId="0" fontId="11" fillId="0" borderId="27" xfId="0" applyFont="1" applyBorder="1" applyAlignment="1">
      <alignment horizontal="center"/>
    </xf>
    <xf numFmtId="0" fontId="11" fillId="0" borderId="27" xfId="0" applyFont="1" applyBorder="1" applyAlignment="1">
      <alignment/>
    </xf>
    <xf numFmtId="49" fontId="11" fillId="33" borderId="13" xfId="0" applyNumberFormat="1" applyFont="1" applyFill="1" applyBorder="1" applyAlignment="1">
      <alignment horizontal="center" vertical="center"/>
    </xf>
    <xf numFmtId="0" fontId="11" fillId="33" borderId="13" xfId="0" applyFont="1" applyFill="1" applyBorder="1" applyAlignment="1">
      <alignment/>
    </xf>
    <xf numFmtId="4" fontId="14" fillId="33" borderId="13" xfId="0" applyNumberFormat="1" applyFont="1" applyFill="1" applyBorder="1" applyAlignment="1">
      <alignment/>
    </xf>
    <xf numFmtId="49" fontId="11" fillId="0" borderId="42" xfId="0" applyNumberFormat="1" applyFont="1" applyBorder="1" applyAlignment="1">
      <alignment horizontal="center" vertical="center"/>
    </xf>
    <xf numFmtId="49" fontId="11" fillId="0" borderId="15" xfId="0" applyNumberFormat="1" applyFont="1" applyBorder="1" applyAlignment="1">
      <alignment horizontal="center" vertical="center"/>
    </xf>
    <xf numFmtId="0" fontId="13" fillId="0" borderId="0" xfId="0" applyFont="1" applyAlignment="1">
      <alignment horizontal="center"/>
    </xf>
    <xf numFmtId="0" fontId="12" fillId="0" borderId="0" xfId="0" applyFont="1" applyAlignment="1">
      <alignment horizontal="center"/>
    </xf>
    <xf numFmtId="0" fontId="13" fillId="0" borderId="51" xfId="0" applyFont="1" applyBorder="1" applyAlignment="1">
      <alignment horizontal="center"/>
    </xf>
    <xf numFmtId="0" fontId="13" fillId="33" borderId="45" xfId="0" applyFont="1" applyFill="1" applyBorder="1" applyAlignment="1" applyProtection="1">
      <alignment horizontal="center" vertical="center" wrapText="1"/>
      <protection/>
    </xf>
    <xf numFmtId="49" fontId="2" fillId="33" borderId="52" xfId="0" applyNumberFormat="1" applyFont="1" applyFill="1" applyBorder="1" applyAlignment="1" applyProtection="1">
      <alignment horizontal="center" vertical="center" wrapText="1"/>
      <protection/>
    </xf>
    <xf numFmtId="49" fontId="2" fillId="33" borderId="45" xfId="0" applyNumberFormat="1" applyFont="1" applyFill="1" applyBorder="1" applyAlignment="1" applyProtection="1">
      <alignment horizontal="center" vertical="center" wrapText="1"/>
      <protection/>
    </xf>
    <xf numFmtId="0" fontId="13" fillId="0" borderId="0" xfId="0" applyFont="1" applyFill="1" applyBorder="1" applyAlignment="1">
      <alignment horizontal="center" vertical="center" wrapText="1"/>
    </xf>
    <xf numFmtId="0" fontId="13" fillId="0" borderId="53" xfId="0" applyFont="1" applyBorder="1" applyAlignment="1">
      <alignment horizontal="center" vertical="center"/>
    </xf>
    <xf numFmtId="2" fontId="13" fillId="0" borderId="54" xfId="0" applyNumberFormat="1" applyFont="1" applyBorder="1" applyAlignment="1">
      <alignment horizontal="center" vertical="center" wrapText="1"/>
    </xf>
    <xf numFmtId="0" fontId="13" fillId="0" borderId="53" xfId="0" applyFont="1" applyBorder="1" applyAlignment="1">
      <alignment horizontal="center" vertical="center" wrapText="1"/>
    </xf>
    <xf numFmtId="1" fontId="13" fillId="0" borderId="53" xfId="0" applyNumberFormat="1" applyFont="1" applyBorder="1" applyAlignment="1">
      <alignment horizontal="center" vertical="center"/>
    </xf>
    <xf numFmtId="3" fontId="13" fillId="0" borderId="53" xfId="0" applyNumberFormat="1" applyFont="1" applyBorder="1" applyAlignment="1">
      <alignment horizontal="center"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13" fillId="0" borderId="21" xfId="0" applyFont="1" applyBorder="1" applyAlignment="1">
      <alignment horizontal="center" vertical="center"/>
    </xf>
    <xf numFmtId="0" fontId="13" fillId="0" borderId="55" xfId="0" applyFont="1" applyBorder="1" applyAlignment="1">
      <alignment horizontal="center"/>
    </xf>
    <xf numFmtId="0" fontId="13" fillId="0" borderId="21" xfId="0" applyFont="1" applyBorder="1" applyAlignment="1">
      <alignment horizontal="center"/>
    </xf>
    <xf numFmtId="3" fontId="13" fillId="0" borderId="21" xfId="0" applyNumberFormat="1" applyFont="1" applyBorder="1" applyAlignment="1">
      <alignment horizontal="center"/>
    </xf>
    <xf numFmtId="3" fontId="13" fillId="0" borderId="55" xfId="0" applyNumberFormat="1" applyFont="1" applyBorder="1" applyAlignment="1">
      <alignment horizontal="center"/>
    </xf>
    <xf numFmtId="0" fontId="13" fillId="0" borderId="0" xfId="0" applyFont="1" applyBorder="1" applyAlignment="1">
      <alignment horizontal="center"/>
    </xf>
    <xf numFmtId="0" fontId="13" fillId="0" borderId="56" xfId="0" applyFont="1" applyBorder="1" applyAlignment="1">
      <alignment horizontal="center"/>
    </xf>
    <xf numFmtId="3" fontId="13" fillId="0" borderId="56" xfId="0" applyNumberFormat="1" applyFont="1" applyBorder="1" applyAlignment="1">
      <alignment horizontal="center"/>
    </xf>
    <xf numFmtId="3" fontId="13" fillId="0" borderId="57" xfId="0" applyNumberFormat="1" applyFont="1" applyBorder="1" applyAlignment="1">
      <alignment horizontal="center"/>
    </xf>
    <xf numFmtId="0" fontId="13" fillId="33" borderId="58" xfId="0" applyFont="1" applyFill="1" applyBorder="1" applyAlignment="1">
      <alignment horizontal="center" vertical="center"/>
    </xf>
    <xf numFmtId="0" fontId="13" fillId="33" borderId="58" xfId="0" applyFont="1" applyFill="1" applyBorder="1" applyAlignment="1">
      <alignment horizontal="center"/>
    </xf>
    <xf numFmtId="0" fontId="13" fillId="0" borderId="19" xfId="0" applyFont="1" applyBorder="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horizontal="center"/>
    </xf>
    <xf numFmtId="0" fontId="13" fillId="0" borderId="19" xfId="0" applyFont="1" applyFill="1" applyBorder="1" applyAlignment="1">
      <alignment horizontal="center"/>
    </xf>
    <xf numFmtId="0" fontId="13" fillId="0" borderId="0" xfId="0" applyFont="1" applyAlignment="1">
      <alignment vertical="center"/>
    </xf>
    <xf numFmtId="49" fontId="2" fillId="33" borderId="59" xfId="0" applyNumberFormat="1" applyFont="1" applyFill="1" applyBorder="1" applyAlignment="1" applyProtection="1">
      <alignment horizontal="center" vertical="center" wrapText="1"/>
      <protection/>
    </xf>
    <xf numFmtId="49" fontId="2" fillId="33" borderId="22" xfId="0" applyNumberFormat="1" applyFont="1" applyFill="1" applyBorder="1" applyAlignment="1" applyProtection="1">
      <alignment horizontal="center" vertical="center" wrapText="1"/>
      <protection/>
    </xf>
    <xf numFmtId="0" fontId="13" fillId="0" borderId="47" xfId="0" applyFont="1" applyBorder="1" applyAlignment="1">
      <alignment horizontal="center" vertical="center"/>
    </xf>
    <xf numFmtId="3" fontId="13" fillId="0" borderId="42" xfId="0" applyNumberFormat="1" applyFont="1" applyBorder="1" applyAlignment="1">
      <alignment horizontal="center"/>
    </xf>
    <xf numFmtId="3" fontId="13" fillId="0" borderId="14" xfId="0" applyNumberFormat="1" applyFont="1" applyBorder="1" applyAlignment="1">
      <alignment horizontal="center"/>
    </xf>
    <xf numFmtId="3" fontId="13" fillId="0" borderId="60" xfId="0" applyNumberFormat="1" applyFont="1" applyBorder="1" applyAlignment="1">
      <alignment horizontal="center"/>
    </xf>
    <xf numFmtId="3" fontId="13" fillId="0" borderId="12" xfId="0" applyNumberFormat="1" applyFont="1" applyBorder="1" applyAlignment="1">
      <alignment horizontal="center"/>
    </xf>
    <xf numFmtId="3" fontId="13" fillId="0" borderId="43" xfId="0" applyNumberFormat="1" applyFont="1" applyBorder="1" applyAlignment="1">
      <alignment horizontal="center"/>
    </xf>
    <xf numFmtId="3" fontId="13" fillId="0" borderId="17" xfId="0" applyNumberFormat="1" applyFont="1" applyBorder="1" applyAlignment="1">
      <alignment horizontal="center"/>
    </xf>
    <xf numFmtId="3" fontId="13" fillId="0" borderId="61" xfId="0" applyNumberFormat="1" applyFont="1" applyBorder="1" applyAlignment="1">
      <alignment horizontal="center"/>
    </xf>
    <xf numFmtId="3" fontId="13" fillId="0" borderId="15" xfId="0" applyNumberFormat="1" applyFont="1" applyBorder="1" applyAlignment="1">
      <alignment horizontal="center"/>
    </xf>
    <xf numFmtId="3" fontId="13" fillId="33" borderId="62" xfId="0" applyNumberFormat="1" applyFont="1" applyFill="1" applyBorder="1" applyAlignment="1">
      <alignment horizontal="center"/>
    </xf>
    <xf numFmtId="3" fontId="13" fillId="33" borderId="44" xfId="0" applyNumberFormat="1" applyFont="1" applyFill="1" applyBorder="1" applyAlignment="1">
      <alignment horizontal="center"/>
    </xf>
    <xf numFmtId="3" fontId="13" fillId="33" borderId="63" xfId="0" applyNumberFormat="1" applyFont="1" applyFill="1" applyBorder="1" applyAlignment="1">
      <alignment horizontal="center"/>
    </xf>
    <xf numFmtId="3" fontId="13" fillId="33" borderId="36" xfId="0" applyNumberFormat="1" applyFont="1" applyFill="1" applyBorder="1" applyAlignment="1">
      <alignment horizontal="center"/>
    </xf>
    <xf numFmtId="0" fontId="0" fillId="0" borderId="64" xfId="0" applyBorder="1" applyAlignment="1">
      <alignment horizontal="center"/>
    </xf>
    <xf numFmtId="0" fontId="22" fillId="0" borderId="12" xfId="51" applyFont="1" applyBorder="1" applyAlignment="1">
      <alignment horizontal="center" vertical="center" wrapText="1"/>
      <protection/>
    </xf>
    <xf numFmtId="0" fontId="22" fillId="0" borderId="13" xfId="51" applyFont="1" applyBorder="1" applyAlignment="1">
      <alignment horizontal="center" vertical="center" wrapText="1"/>
      <protection/>
    </xf>
    <xf numFmtId="0" fontId="22" fillId="0" borderId="14" xfId="51" applyFont="1" applyBorder="1" applyAlignment="1">
      <alignment horizontal="center" vertical="center" wrapText="1"/>
      <protection/>
    </xf>
    <xf numFmtId="0" fontId="22" fillId="0" borderId="15" xfId="51" applyFont="1" applyBorder="1" applyAlignment="1">
      <alignment vertical="center" wrapText="1"/>
      <protection/>
    </xf>
    <xf numFmtId="0" fontId="22" fillId="33" borderId="15" xfId="51" applyFont="1" applyFill="1" applyBorder="1" applyAlignment="1">
      <alignment vertical="center" wrapText="1"/>
      <protection/>
    </xf>
    <xf numFmtId="0" fontId="22" fillId="0" borderId="18" xfId="51" applyFont="1" applyBorder="1" applyAlignment="1">
      <alignment vertical="center" wrapText="1"/>
      <protection/>
    </xf>
    <xf numFmtId="0" fontId="18" fillId="0" borderId="0" xfId="51" applyFont="1" applyAlignment="1">
      <alignment wrapText="1"/>
      <protection/>
    </xf>
    <xf numFmtId="0" fontId="18" fillId="0" borderId="0" xfId="51" applyFont="1" applyAlignment="1">
      <alignment horizontal="center" wrapText="1"/>
      <protection/>
    </xf>
    <xf numFmtId="3" fontId="3" fillId="0" borderId="10" xfId="0" applyNumberFormat="1" applyFont="1" applyFill="1" applyBorder="1" applyAlignment="1">
      <alignment horizontal="center" vertical="center"/>
    </xf>
    <xf numFmtId="0" fontId="2" fillId="0" borderId="17" xfId="0" applyFont="1" applyBorder="1" applyAlignment="1">
      <alignment horizontal="center"/>
    </xf>
    <xf numFmtId="3" fontId="2" fillId="0" borderId="65" xfId="0" applyNumberFormat="1" applyFont="1" applyBorder="1" applyAlignment="1">
      <alignment horizontal="center"/>
    </xf>
    <xf numFmtId="49" fontId="11" fillId="0" borderId="66" xfId="0" applyNumberFormat="1" applyFont="1" applyBorder="1" applyAlignment="1">
      <alignment horizontal="center" vertical="center"/>
    </xf>
    <xf numFmtId="49" fontId="11" fillId="33" borderId="67" xfId="0" applyNumberFormat="1" applyFont="1" applyFill="1" applyBorder="1" applyAlignment="1">
      <alignment horizontal="center" vertical="center"/>
    </xf>
    <xf numFmtId="0" fontId="11" fillId="35" borderId="27" xfId="0" applyFont="1" applyFill="1" applyBorder="1" applyAlignment="1">
      <alignment/>
    </xf>
    <xf numFmtId="4" fontId="11" fillId="0" borderId="13" xfId="0" applyNumberFormat="1" applyFont="1" applyBorder="1" applyAlignment="1">
      <alignment/>
    </xf>
    <xf numFmtId="4" fontId="11" fillId="0" borderId="34" xfId="0" applyNumberFormat="1" applyFont="1" applyBorder="1" applyAlignment="1">
      <alignment/>
    </xf>
    <xf numFmtId="4" fontId="11" fillId="0" borderId="27" xfId="0" applyNumberFormat="1" applyFont="1" applyBorder="1" applyAlignment="1">
      <alignment/>
    </xf>
    <xf numFmtId="4" fontId="14" fillId="35" borderId="27" xfId="0" applyNumberFormat="1" applyFont="1" applyFill="1" applyBorder="1" applyAlignment="1">
      <alignment/>
    </xf>
    <xf numFmtId="0" fontId="11" fillId="36" borderId="50" xfId="0" applyFont="1" applyFill="1" applyBorder="1" applyAlignment="1">
      <alignment/>
    </xf>
    <xf numFmtId="0" fontId="11" fillId="35" borderId="65" xfId="0" applyFont="1" applyFill="1" applyBorder="1" applyAlignment="1">
      <alignment/>
    </xf>
    <xf numFmtId="3" fontId="13" fillId="33" borderId="58" xfId="0" applyNumberFormat="1" applyFont="1" applyFill="1" applyBorder="1" applyAlignment="1">
      <alignment horizontal="center"/>
    </xf>
    <xf numFmtId="0" fontId="13" fillId="0" borderId="68" xfId="0" applyFont="1" applyBorder="1" applyAlignment="1">
      <alignment horizontal="center" vertical="center"/>
    </xf>
    <xf numFmtId="0" fontId="13" fillId="0" borderId="69" xfId="0" applyFont="1" applyBorder="1" applyAlignment="1">
      <alignment horizontal="center"/>
    </xf>
    <xf numFmtId="3" fontId="13" fillId="33" borderId="70" xfId="0" applyNumberFormat="1" applyFont="1" applyFill="1" applyBorder="1" applyAlignment="1">
      <alignment horizontal="center"/>
    </xf>
    <xf numFmtId="0" fontId="23" fillId="0" borderId="0" xfId="0" applyFont="1" applyAlignment="1">
      <alignment/>
    </xf>
    <xf numFmtId="0" fontId="22" fillId="0" borderId="0" xfId="0" applyFont="1" applyAlignment="1">
      <alignment vertical="center"/>
    </xf>
    <xf numFmtId="0" fontId="24" fillId="0" borderId="0" xfId="51" applyFont="1">
      <alignment/>
      <protection/>
    </xf>
    <xf numFmtId="0" fontId="24" fillId="0" borderId="0" xfId="51" applyFont="1" applyAlignment="1">
      <alignment horizontal="center"/>
      <protection/>
    </xf>
    <xf numFmtId="0" fontId="23" fillId="0" borderId="0" xfId="51" applyFont="1">
      <alignment/>
      <protection/>
    </xf>
    <xf numFmtId="0" fontId="25" fillId="0" borderId="0" xfId="51" applyFont="1">
      <alignment/>
      <protection/>
    </xf>
    <xf numFmtId="0" fontId="25" fillId="0" borderId="0" xfId="51" applyFont="1" applyAlignment="1">
      <alignment horizontal="center"/>
      <protection/>
    </xf>
    <xf numFmtId="0" fontId="22" fillId="0" borderId="0" xfId="51" applyFont="1">
      <alignment/>
      <protection/>
    </xf>
    <xf numFmtId="0" fontId="22" fillId="0" borderId="0" xfId="51" applyFont="1" applyAlignment="1">
      <alignment horizontal="center"/>
      <protection/>
    </xf>
    <xf numFmtId="0" fontId="23" fillId="0" borderId="0" xfId="51" applyFont="1" applyAlignment="1">
      <alignment vertical="center"/>
      <protection/>
    </xf>
    <xf numFmtId="0" fontId="23" fillId="33" borderId="16" xfId="51" applyFont="1" applyFill="1" applyBorder="1" applyAlignment="1">
      <alignment vertical="center" wrapText="1"/>
      <protection/>
    </xf>
    <xf numFmtId="0" fontId="23" fillId="33" borderId="16" xfId="51" applyFont="1" applyFill="1" applyBorder="1" applyAlignment="1">
      <alignment horizontal="center" vertical="center" wrapText="1"/>
      <protection/>
    </xf>
    <xf numFmtId="3" fontId="22" fillId="33" borderId="16" xfId="51" applyNumberFormat="1" applyFont="1" applyFill="1" applyBorder="1" applyAlignment="1">
      <alignment horizontal="center" vertical="center" wrapText="1"/>
      <protection/>
    </xf>
    <xf numFmtId="3" fontId="22" fillId="33" borderId="17" xfId="51" applyNumberFormat="1" applyFont="1" applyFill="1" applyBorder="1" applyAlignment="1">
      <alignment horizontal="center" vertical="center" wrapText="1"/>
      <protection/>
    </xf>
    <xf numFmtId="0" fontId="22" fillId="0" borderId="16" xfId="51" applyFont="1" applyBorder="1" applyAlignment="1">
      <alignment vertical="center" wrapText="1"/>
      <protection/>
    </xf>
    <xf numFmtId="0" fontId="22" fillId="0" borderId="16" xfId="51" applyFont="1" applyBorder="1" applyAlignment="1">
      <alignment horizontal="center" vertical="center" wrapText="1"/>
      <protection/>
    </xf>
    <xf numFmtId="3" fontId="22" fillId="0" borderId="16" xfId="51" applyNumberFormat="1" applyFont="1" applyBorder="1" applyAlignment="1">
      <alignment horizontal="center" vertical="center" wrapText="1"/>
      <protection/>
    </xf>
    <xf numFmtId="3" fontId="22" fillId="0" borderId="17" xfId="51" applyNumberFormat="1" applyFont="1" applyBorder="1" applyAlignment="1">
      <alignment horizontal="center" vertical="center" wrapText="1"/>
      <protection/>
    </xf>
    <xf numFmtId="0" fontId="22" fillId="0" borderId="34" xfId="51" applyFont="1" applyBorder="1" applyAlignment="1">
      <alignment horizontal="center" vertical="center" wrapText="1"/>
      <protection/>
    </xf>
    <xf numFmtId="0" fontId="22" fillId="0" borderId="16" xfId="51" applyFont="1" applyBorder="1" applyAlignment="1">
      <alignment horizontal="left" vertical="center" wrapText="1"/>
      <protection/>
    </xf>
    <xf numFmtId="0" fontId="22" fillId="0" borderId="34" xfId="51" applyFont="1" applyBorder="1" applyAlignment="1">
      <alignment vertical="center" wrapText="1"/>
      <protection/>
    </xf>
    <xf numFmtId="0" fontId="23" fillId="33" borderId="34" xfId="51" applyFont="1" applyFill="1" applyBorder="1" applyAlignment="1">
      <alignment horizontal="center" vertical="center" wrapText="1"/>
      <protection/>
    </xf>
    <xf numFmtId="0" fontId="22" fillId="0" borderId="10" xfId="51" applyFont="1" applyBorder="1" applyAlignment="1">
      <alignment vertical="center" wrapText="1"/>
      <protection/>
    </xf>
    <xf numFmtId="0" fontId="22" fillId="0" borderId="10" xfId="51" applyFont="1" applyBorder="1" applyAlignment="1">
      <alignment horizontal="center" vertical="center" wrapText="1"/>
      <protection/>
    </xf>
    <xf numFmtId="3" fontId="22" fillId="0" borderId="10" xfId="51" applyNumberFormat="1" applyFont="1" applyBorder="1" applyAlignment="1">
      <alignment horizontal="center" vertical="center" wrapText="1"/>
      <protection/>
    </xf>
    <xf numFmtId="3" fontId="22" fillId="0" borderId="22" xfId="51" applyNumberFormat="1" applyFont="1" applyBorder="1" applyAlignment="1">
      <alignment horizontal="center" vertical="center" wrapText="1"/>
      <protection/>
    </xf>
    <xf numFmtId="0" fontId="25" fillId="0" borderId="0" xfId="51" applyFont="1" applyAlignment="1">
      <alignment vertical="top"/>
      <protection/>
    </xf>
    <xf numFmtId="0" fontId="3" fillId="0" borderId="39" xfId="0" applyFont="1" applyFill="1" applyBorder="1" applyAlignment="1">
      <alignment horizontal="center" vertical="center" wrapText="1"/>
    </xf>
    <xf numFmtId="0" fontId="2" fillId="0" borderId="0" xfId="0" applyFont="1" applyBorder="1" applyAlignment="1">
      <alignment horizontal="left" vertical="center"/>
    </xf>
    <xf numFmtId="3" fontId="3" fillId="36" borderId="27" xfId="0" applyNumberFormat="1" applyFont="1" applyFill="1" applyBorder="1" applyAlignment="1">
      <alignment horizontal="center" vertical="center"/>
    </xf>
    <xf numFmtId="3" fontId="3" fillId="0" borderId="27" xfId="0" applyNumberFormat="1" applyFont="1" applyBorder="1" applyAlignment="1">
      <alignment horizontal="center" vertical="center"/>
    </xf>
    <xf numFmtId="3" fontId="19" fillId="0" borderId="27" xfId="0" applyNumberFormat="1" applyFont="1" applyBorder="1" applyAlignment="1">
      <alignment horizontal="center" vertical="center"/>
    </xf>
    <xf numFmtId="3" fontId="19" fillId="0" borderId="71" xfId="0" applyNumberFormat="1" applyFont="1" applyBorder="1" applyAlignment="1">
      <alignment horizontal="center" vertical="center"/>
    </xf>
    <xf numFmtId="3" fontId="19" fillId="0" borderId="0" xfId="0" applyNumberFormat="1" applyFont="1" applyBorder="1" applyAlignment="1">
      <alignment horizontal="center" vertical="center"/>
    </xf>
    <xf numFmtId="3" fontId="19" fillId="0" borderId="72" xfId="0" applyNumberFormat="1" applyFont="1" applyBorder="1" applyAlignment="1">
      <alignment horizontal="center" vertical="center"/>
    </xf>
    <xf numFmtId="3" fontId="4" fillId="0" borderId="71" xfId="0" applyNumberFormat="1" applyFont="1" applyBorder="1" applyAlignment="1">
      <alignment horizontal="center" vertical="center"/>
    </xf>
    <xf numFmtId="3" fontId="4" fillId="0" borderId="31" xfId="0" applyNumberFormat="1" applyFont="1" applyBorder="1" applyAlignment="1">
      <alignment horizontal="center" vertical="center"/>
    </xf>
    <xf numFmtId="0" fontId="64" fillId="0" borderId="0" xfId="0" applyFont="1" applyAlignment="1">
      <alignment/>
    </xf>
    <xf numFmtId="3" fontId="3" fillId="34" borderId="16" xfId="0" applyNumberFormat="1" applyFont="1" applyFill="1" applyBorder="1" applyAlignment="1">
      <alignment horizontal="center" vertical="center"/>
    </xf>
    <xf numFmtId="4" fontId="3" fillId="33" borderId="17" xfId="0" applyNumberFormat="1" applyFont="1" applyFill="1" applyBorder="1" applyAlignment="1">
      <alignment horizontal="center" vertical="center" wrapText="1"/>
    </xf>
    <xf numFmtId="3" fontId="3" fillId="33" borderId="17" xfId="0" applyNumberFormat="1" applyFont="1" applyFill="1" applyBorder="1" applyAlignment="1">
      <alignment horizontal="center" vertical="center" wrapText="1"/>
    </xf>
    <xf numFmtId="3" fontId="3" fillId="33" borderId="16" xfId="0" applyNumberFormat="1" applyFont="1" applyFill="1" applyBorder="1" applyAlignment="1">
      <alignment horizontal="center" vertical="center"/>
    </xf>
    <xf numFmtId="3" fontId="3" fillId="33" borderId="16" xfId="0" applyNumberFormat="1" applyFont="1" applyFill="1" applyBorder="1" applyAlignment="1">
      <alignment horizontal="center" vertical="center"/>
    </xf>
    <xf numFmtId="3" fontId="3" fillId="36" borderId="16" xfId="0" applyNumberFormat="1" applyFont="1" applyFill="1" applyBorder="1" applyAlignment="1">
      <alignment horizontal="center" vertical="center"/>
    </xf>
    <xf numFmtId="3" fontId="3" fillId="33" borderId="61" xfId="0" applyNumberFormat="1" applyFont="1" applyFill="1" applyBorder="1" applyAlignment="1">
      <alignment horizontal="center" vertical="center"/>
    </xf>
    <xf numFmtId="3" fontId="3" fillId="0" borderId="10"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3" fontId="3" fillId="0" borderId="0" xfId="0" applyNumberFormat="1" applyFont="1" applyFill="1" applyAlignment="1">
      <alignment horizontal="center" vertical="center"/>
    </xf>
    <xf numFmtId="3" fontId="3" fillId="0" borderId="13" xfId="0" applyNumberFormat="1" applyFont="1" applyBorder="1" applyAlignment="1">
      <alignment horizontal="center" vertical="center"/>
    </xf>
    <xf numFmtId="3" fontId="3" fillId="0" borderId="13" xfId="0" applyNumberFormat="1" applyFont="1" applyFill="1" applyBorder="1" applyAlignment="1">
      <alignment horizontal="center" vertical="center"/>
    </xf>
    <xf numFmtId="3" fontId="3" fillId="0" borderId="14" xfId="0" applyNumberFormat="1" applyFont="1" applyFill="1" applyBorder="1" applyAlignment="1">
      <alignment horizontal="center" vertical="center"/>
    </xf>
    <xf numFmtId="3" fontId="3" fillId="0" borderId="16" xfId="0" applyNumberFormat="1" applyFont="1" applyFill="1" applyBorder="1" applyAlignment="1" applyProtection="1">
      <alignment horizontal="center" vertical="center"/>
      <protection/>
    </xf>
    <xf numFmtId="3" fontId="3" fillId="0" borderId="17" xfId="0" applyNumberFormat="1" applyFont="1" applyFill="1" applyBorder="1" applyAlignment="1">
      <alignment horizontal="center" vertical="center"/>
    </xf>
    <xf numFmtId="3" fontId="3" fillId="0" borderId="16" xfId="0" applyNumberFormat="1" applyFont="1" applyFill="1" applyBorder="1" applyAlignment="1" applyProtection="1">
      <alignment horizontal="center" vertical="center"/>
      <protection locked="0"/>
    </xf>
    <xf numFmtId="4" fontId="3" fillId="0" borderId="17" xfId="0" applyNumberFormat="1" applyFont="1" applyFill="1" applyBorder="1" applyAlignment="1">
      <alignment horizontal="center" vertical="center"/>
    </xf>
    <xf numFmtId="3" fontId="3" fillId="0" borderId="16" xfId="0" applyNumberFormat="1" applyFont="1" applyFill="1" applyBorder="1" applyAlignment="1" applyProtection="1">
      <alignment horizontal="center" vertical="center"/>
      <protection/>
    </xf>
    <xf numFmtId="3" fontId="3" fillId="0" borderId="16" xfId="0" applyNumberFormat="1" applyFont="1" applyFill="1" applyBorder="1" applyAlignment="1">
      <alignment horizontal="center" vertical="center"/>
    </xf>
    <xf numFmtId="3" fontId="3" fillId="36" borderId="16" xfId="0" applyNumberFormat="1" applyFont="1" applyFill="1" applyBorder="1" applyAlignment="1">
      <alignment horizontal="center" vertical="center" wrapText="1"/>
    </xf>
    <xf numFmtId="3" fontId="3" fillId="36" borderId="16" xfId="0" applyNumberFormat="1" applyFont="1" applyFill="1" applyBorder="1" applyAlignment="1" applyProtection="1">
      <alignment horizontal="center" vertical="center"/>
      <protection locked="0"/>
    </xf>
    <xf numFmtId="4" fontId="3" fillId="36" borderId="17" xfId="0" applyNumberFormat="1" applyFont="1" applyFill="1" applyBorder="1" applyAlignment="1">
      <alignment horizontal="center" vertical="center"/>
    </xf>
    <xf numFmtId="3" fontId="3" fillId="36" borderId="16" xfId="0" applyNumberFormat="1" applyFont="1" applyFill="1" applyBorder="1" applyAlignment="1" applyProtection="1">
      <alignment horizontal="center" vertical="center"/>
      <protection/>
    </xf>
    <xf numFmtId="4" fontId="3" fillId="0" borderId="22" xfId="0" applyNumberFormat="1" applyFont="1" applyFill="1" applyBorder="1" applyAlignment="1">
      <alignment horizontal="center" vertical="center"/>
    </xf>
    <xf numFmtId="3" fontId="3" fillId="0" borderId="27" xfId="51" applyNumberFormat="1" applyFont="1" applyFill="1" applyBorder="1" applyAlignment="1">
      <alignment horizontal="center" vertical="center" wrapText="1"/>
      <protection/>
    </xf>
    <xf numFmtId="3" fontId="3" fillId="0" borderId="73" xfId="51" applyNumberFormat="1" applyFont="1" applyFill="1" applyBorder="1" applyAlignment="1">
      <alignment horizontal="center" vertical="center" wrapText="1"/>
      <protection/>
    </xf>
    <xf numFmtId="3" fontId="3" fillId="0" borderId="27" xfId="51" applyNumberFormat="1" applyFont="1" applyFill="1" applyBorder="1" applyAlignment="1">
      <alignment horizontal="center" vertical="center"/>
      <protection/>
    </xf>
    <xf numFmtId="3" fontId="3" fillId="0" borderId="16"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3" fontId="3" fillId="0" borderId="74" xfId="51" applyNumberFormat="1" applyFont="1" applyFill="1" applyBorder="1" applyAlignment="1">
      <alignment horizontal="center" vertical="center" wrapText="1"/>
      <protection/>
    </xf>
    <xf numFmtId="3" fontId="3" fillId="0" borderId="75" xfId="51" applyNumberFormat="1" applyFont="1" applyFill="1" applyBorder="1" applyAlignment="1">
      <alignment horizontal="center" vertical="center" wrapText="1"/>
      <protection/>
    </xf>
    <xf numFmtId="49" fontId="9" fillId="34" borderId="16" xfId="51" applyNumberFormat="1" applyFont="1" applyFill="1" applyBorder="1" applyAlignment="1">
      <alignment horizontal="left" vertical="center"/>
      <protection/>
    </xf>
    <xf numFmtId="0" fontId="2" fillId="0" borderId="35" xfId="0" applyFont="1" applyBorder="1" applyAlignment="1">
      <alignment horizontal="center"/>
    </xf>
    <xf numFmtId="0" fontId="11" fillId="0" borderId="61" xfId="0" applyFont="1" applyBorder="1" applyAlignment="1">
      <alignment/>
    </xf>
    <xf numFmtId="0" fontId="11" fillId="0" borderId="76" xfId="0" applyFont="1" applyBorder="1" applyAlignment="1">
      <alignment/>
    </xf>
    <xf numFmtId="0" fontId="11" fillId="0" borderId="77" xfId="0" applyFont="1" applyBorder="1" applyAlignment="1">
      <alignment/>
    </xf>
    <xf numFmtId="4" fontId="11" fillId="0" borderId="38" xfId="0" applyNumberFormat="1" applyFont="1" applyBorder="1" applyAlignment="1">
      <alignment/>
    </xf>
    <xf numFmtId="4" fontId="14" fillId="36" borderId="50" xfId="0" applyNumberFormat="1" applyFont="1" applyFill="1" applyBorder="1" applyAlignment="1">
      <alignment/>
    </xf>
    <xf numFmtId="4" fontId="14" fillId="33" borderId="78" xfId="0" applyNumberFormat="1" applyFont="1" applyFill="1" applyBorder="1" applyAlignment="1">
      <alignment/>
    </xf>
    <xf numFmtId="49" fontId="2" fillId="0" borderId="0" xfId="0" applyNumberFormat="1" applyFont="1" applyAlignment="1">
      <alignment/>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Fill="1" applyBorder="1" applyAlignment="1">
      <alignment horizontal="center" vertical="center" wrapText="1"/>
    </xf>
    <xf numFmtId="0" fontId="3" fillId="0" borderId="16" xfId="0" applyFont="1" applyBorder="1" applyAlignment="1">
      <alignment horizontal="left" vertical="center"/>
    </xf>
    <xf numFmtId="0" fontId="2" fillId="0" borderId="16" xfId="0" applyFont="1" applyBorder="1" applyAlignment="1">
      <alignment/>
    </xf>
    <xf numFmtId="0" fontId="2" fillId="0" borderId="17" xfId="0" applyFont="1" applyBorder="1" applyAlignment="1">
      <alignment horizontal="center"/>
    </xf>
    <xf numFmtId="0" fontId="2" fillId="0" borderId="16" xfId="0" applyFont="1" applyBorder="1" applyAlignment="1">
      <alignment horizontal="left" vertical="center"/>
    </xf>
    <xf numFmtId="0" fontId="2" fillId="0" borderId="16" xfId="0" applyFont="1" applyBorder="1" applyAlignment="1">
      <alignment horizontal="center"/>
    </xf>
    <xf numFmtId="0" fontId="2" fillId="0" borderId="15" xfId="0" applyFont="1" applyBorder="1" applyAlignment="1">
      <alignment horizontal="center" vertical="center" wrapText="1"/>
    </xf>
    <xf numFmtId="0" fontId="2" fillId="0" borderId="16" xfId="0" applyFont="1" applyBorder="1" applyAlignment="1">
      <alignment horizontal="left" vertical="center" wrapText="1"/>
    </xf>
    <xf numFmtId="49" fontId="3" fillId="0" borderId="18" xfId="0" applyNumberFormat="1" applyFont="1" applyBorder="1" applyAlignment="1">
      <alignment horizontal="center" vertical="center"/>
    </xf>
    <xf numFmtId="0" fontId="3" fillId="0" borderId="10" xfId="0" applyFont="1" applyBorder="1" applyAlignment="1">
      <alignment horizontal="left" vertical="center"/>
    </xf>
    <xf numFmtId="0" fontId="3" fillId="0" borderId="10" xfId="0" applyFont="1" applyBorder="1" applyAlignment="1">
      <alignment horizontal="center"/>
    </xf>
    <xf numFmtId="0" fontId="3" fillId="0" borderId="22" xfId="0" applyFont="1" applyBorder="1" applyAlignment="1">
      <alignment horizontal="center"/>
    </xf>
    <xf numFmtId="49" fontId="2" fillId="0" borderId="0" xfId="0" applyNumberFormat="1" applyFont="1" applyBorder="1" applyAlignment="1">
      <alignment horizontal="center" vertical="center"/>
    </xf>
    <xf numFmtId="0" fontId="2" fillId="0" borderId="0" xfId="0" applyFont="1" applyAlignment="1">
      <alignment/>
    </xf>
    <xf numFmtId="3" fontId="3" fillId="0" borderId="27" xfId="0" applyNumberFormat="1" applyFont="1" applyBorder="1" applyAlignment="1">
      <alignment horizontal="center" vertical="center" wrapText="1"/>
    </xf>
    <xf numFmtId="3" fontId="3" fillId="0" borderId="27" xfId="0" applyNumberFormat="1" applyFont="1" applyFill="1" applyBorder="1" applyAlignment="1">
      <alignment horizontal="center" vertical="center" wrapText="1"/>
    </xf>
    <xf numFmtId="3" fontId="3" fillId="0" borderId="16" xfId="0" applyNumberFormat="1" applyFont="1" applyBorder="1" applyAlignment="1">
      <alignment horizontal="center" wrapText="1"/>
    </xf>
    <xf numFmtId="3" fontId="3" fillId="0" borderId="16" xfId="0" applyNumberFormat="1" applyFont="1" applyBorder="1" applyAlignment="1">
      <alignment horizontal="center"/>
    </xf>
    <xf numFmtId="0" fontId="2" fillId="0" borderId="16" xfId="0" applyFont="1" applyBorder="1" applyAlignment="1">
      <alignment horizontal="left" vertical="center"/>
    </xf>
    <xf numFmtId="0" fontId="66" fillId="0" borderId="0" xfId="0" applyFont="1" applyAlignment="1">
      <alignment/>
    </xf>
    <xf numFmtId="0" fontId="2" fillId="0" borderId="79" xfId="0" applyFont="1" applyBorder="1" applyAlignment="1">
      <alignment/>
    </xf>
    <xf numFmtId="3" fontId="3" fillId="36" borderId="77" xfId="52" applyNumberFormat="1" applyFont="1" applyFill="1" applyBorder="1" applyAlignment="1">
      <alignment horizontal="center" vertical="center" wrapText="1"/>
      <protection/>
    </xf>
    <xf numFmtId="3" fontId="3" fillId="0" borderId="77" xfId="52" applyNumberFormat="1" applyFont="1" applyFill="1" applyBorder="1" applyAlignment="1">
      <alignment horizontal="center" vertical="center" wrapText="1"/>
      <protection/>
    </xf>
    <xf numFmtId="3" fontId="3" fillId="36" borderId="77" xfId="52" applyNumberFormat="1" applyFont="1" applyFill="1" applyBorder="1" applyAlignment="1">
      <alignment horizontal="center" vertical="center" wrapText="1"/>
      <protection/>
    </xf>
    <xf numFmtId="3" fontId="3" fillId="0" borderId="77" xfId="52" applyNumberFormat="1" applyFont="1" applyFill="1" applyBorder="1" applyAlignment="1">
      <alignment horizontal="center" vertical="center" wrapText="1"/>
      <protection/>
    </xf>
    <xf numFmtId="3" fontId="3" fillId="0" borderId="80" xfId="52" applyNumberFormat="1" applyFont="1" applyFill="1" applyBorder="1" applyAlignment="1">
      <alignment horizontal="center" vertical="center" wrapText="1"/>
      <protection/>
    </xf>
    <xf numFmtId="3" fontId="0" fillId="0" borderId="0" xfId="0" applyNumberFormat="1" applyAlignment="1">
      <alignment/>
    </xf>
    <xf numFmtId="49" fontId="11" fillId="33" borderId="36" xfId="0" applyNumberFormat="1" applyFont="1" applyFill="1" applyBorder="1" applyAlignment="1">
      <alignment horizontal="center" vertical="center"/>
    </xf>
    <xf numFmtId="4" fontId="14" fillId="35" borderId="65" xfId="0" applyNumberFormat="1" applyFont="1" applyFill="1" applyBorder="1" applyAlignment="1">
      <alignment/>
    </xf>
    <xf numFmtId="0" fontId="13" fillId="0" borderId="55" xfId="0" applyFont="1" applyBorder="1" applyAlignment="1">
      <alignment horizontal="center" vertical="center" wrapText="1"/>
    </xf>
    <xf numFmtId="3" fontId="13" fillId="0" borderId="21" xfId="0" applyNumberFormat="1" applyFont="1" applyBorder="1" applyAlignment="1">
      <alignment horizontal="center" vertical="center"/>
    </xf>
    <xf numFmtId="3" fontId="13" fillId="0" borderId="55" xfId="0" applyNumberFormat="1" applyFont="1" applyBorder="1" applyAlignment="1">
      <alignment horizontal="center" vertical="center"/>
    </xf>
    <xf numFmtId="0" fontId="0" fillId="0" borderId="0" xfId="0" applyAlignment="1">
      <alignment horizontal="center" vertical="center"/>
    </xf>
    <xf numFmtId="0" fontId="13" fillId="0" borderId="55" xfId="0" applyFont="1" applyBorder="1" applyAlignment="1">
      <alignment horizontal="center" vertical="center"/>
    </xf>
    <xf numFmtId="0" fontId="0" fillId="0" borderId="0" xfId="0" applyAlignment="1">
      <alignment vertical="center"/>
    </xf>
    <xf numFmtId="0" fontId="26" fillId="0" borderId="0" xfId="0" applyFont="1" applyAlignment="1">
      <alignment horizontal="center"/>
    </xf>
    <xf numFmtId="0" fontId="26" fillId="0" borderId="0" xfId="0" applyFont="1" applyAlignment="1">
      <alignment/>
    </xf>
    <xf numFmtId="0" fontId="27" fillId="0" borderId="0" xfId="0" applyFont="1" applyAlignment="1">
      <alignment horizontal="center"/>
    </xf>
    <xf numFmtId="0" fontId="26" fillId="0" borderId="0" xfId="0" applyFont="1" applyAlignment="1">
      <alignment horizontal="center"/>
    </xf>
    <xf numFmtId="0" fontId="27" fillId="0" borderId="0" xfId="0" applyFont="1" applyAlignment="1">
      <alignment horizontal="center" vertical="top"/>
    </xf>
    <xf numFmtId="0" fontId="26" fillId="0" borderId="0" xfId="0" applyFont="1" applyAlignment="1">
      <alignment horizontal="center" vertical="top"/>
    </xf>
    <xf numFmtId="0" fontId="28" fillId="0" borderId="0" xfId="0" applyFont="1" applyAlignment="1">
      <alignment horizontal="center"/>
    </xf>
    <xf numFmtId="0" fontId="28" fillId="0" borderId="0" xfId="0" applyFont="1" applyAlignment="1">
      <alignment/>
    </xf>
    <xf numFmtId="0" fontId="29" fillId="0" borderId="81" xfId="0" applyFont="1" applyBorder="1" applyAlignment="1">
      <alignment horizontal="center" vertical="center" wrapText="1"/>
    </xf>
    <xf numFmtId="0" fontId="29" fillId="0" borderId="82" xfId="0" applyFont="1" applyBorder="1" applyAlignment="1">
      <alignment horizontal="center" vertical="center" wrapText="1"/>
    </xf>
    <xf numFmtId="0" fontId="29" fillId="0" borderId="83" xfId="0" applyFont="1" applyBorder="1" applyAlignment="1">
      <alignment horizontal="center" vertical="center" wrapText="1"/>
    </xf>
    <xf numFmtId="0" fontId="29" fillId="0" borderId="84" xfId="0" applyFont="1" applyBorder="1" applyAlignment="1">
      <alignment horizontal="center" vertical="center" wrapText="1"/>
    </xf>
    <xf numFmtId="0" fontId="29" fillId="0" borderId="85"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87" xfId="0" applyFont="1" applyBorder="1" applyAlignment="1">
      <alignment horizontal="center" vertical="center" wrapText="1"/>
    </xf>
    <xf numFmtId="4" fontId="29" fillId="0" borderId="85" xfId="0" applyNumberFormat="1" applyFont="1" applyFill="1" applyBorder="1" applyAlignment="1">
      <alignment horizontal="right" vertical="center" wrapText="1"/>
    </xf>
    <xf numFmtId="4" fontId="29" fillId="0" borderId="88" xfId="0" applyNumberFormat="1" applyFont="1" applyFill="1" applyBorder="1" applyAlignment="1">
      <alignment horizontal="right" vertical="center" wrapText="1"/>
    </xf>
    <xf numFmtId="0" fontId="30" fillId="0" borderId="89" xfId="0" applyFont="1" applyBorder="1" applyAlignment="1">
      <alignment horizontal="center" vertical="center"/>
    </xf>
    <xf numFmtId="0" fontId="29" fillId="0" borderId="90" xfId="0" applyFont="1" applyBorder="1" applyAlignment="1">
      <alignment horizontal="center" vertical="center" wrapText="1"/>
    </xf>
    <xf numFmtId="0" fontId="29" fillId="0" borderId="91" xfId="0" applyFont="1" applyBorder="1" applyAlignment="1">
      <alignment horizontal="center" vertical="center" wrapText="1"/>
    </xf>
    <xf numFmtId="0" fontId="29" fillId="0" borderId="92" xfId="0" applyFont="1" applyBorder="1" applyAlignment="1">
      <alignment horizontal="center" vertical="center" wrapText="1"/>
    </xf>
    <xf numFmtId="0" fontId="29" fillId="0" borderId="93" xfId="0" applyFont="1" applyBorder="1" applyAlignment="1">
      <alignment horizontal="center" vertical="center" wrapText="1"/>
    </xf>
    <xf numFmtId="0" fontId="29" fillId="0" borderId="94" xfId="0" applyFont="1" applyBorder="1" applyAlignment="1">
      <alignment horizontal="center" vertical="center" wrapText="1"/>
    </xf>
    <xf numFmtId="0" fontId="29" fillId="0" borderId="95" xfId="0" applyFont="1" applyBorder="1" applyAlignment="1">
      <alignment horizontal="center" vertical="center" wrapText="1"/>
    </xf>
    <xf numFmtId="4" fontId="29" fillId="0" borderId="94" xfId="0" applyNumberFormat="1" applyFont="1" applyFill="1" applyBorder="1" applyAlignment="1">
      <alignment horizontal="right" vertical="center" wrapText="1"/>
    </xf>
    <xf numFmtId="4" fontId="67" fillId="0" borderId="96" xfId="0" applyNumberFormat="1" applyFont="1" applyFill="1" applyBorder="1" applyAlignment="1">
      <alignment horizontal="right" vertical="center" wrapText="1"/>
    </xf>
    <xf numFmtId="0" fontId="27" fillId="0" borderId="97" xfId="0" applyFont="1" applyBorder="1" applyAlignment="1">
      <alignment horizontal="center" vertical="center"/>
    </xf>
    <xf numFmtId="0" fontId="26" fillId="0" borderId="32" xfId="0" applyFont="1" applyBorder="1" applyAlignment="1">
      <alignment horizontal="center" vertical="center"/>
    </xf>
    <xf numFmtId="0" fontId="27" fillId="0" borderId="98" xfId="0" applyFont="1" applyBorder="1" applyAlignment="1">
      <alignment horizontal="center" vertical="center"/>
    </xf>
    <xf numFmtId="0" fontId="27" fillId="0" borderId="99" xfId="0" applyFont="1" applyBorder="1" applyAlignment="1">
      <alignment horizontal="center" vertical="center"/>
    </xf>
    <xf numFmtId="0" fontId="27" fillId="0" borderId="100" xfId="0" applyFont="1" applyBorder="1" applyAlignment="1">
      <alignment horizontal="center" vertical="center"/>
    </xf>
    <xf numFmtId="0" fontId="27" fillId="0" borderId="101" xfId="0" applyFont="1" applyBorder="1" applyAlignment="1">
      <alignment horizontal="center" vertical="center"/>
    </xf>
    <xf numFmtId="4" fontId="31" fillId="0" borderId="99" xfId="0" applyNumberFormat="1" applyFont="1" applyBorder="1" applyAlignment="1">
      <alignment vertical="center"/>
    </xf>
    <xf numFmtId="4" fontId="31" fillId="0" borderId="102" xfId="0" applyNumberFormat="1" applyFont="1" applyBorder="1" applyAlignment="1">
      <alignment vertical="center"/>
    </xf>
    <xf numFmtId="0" fontId="31" fillId="0" borderId="103" xfId="0" applyFont="1" applyBorder="1" applyAlignment="1">
      <alignment horizontal="center" vertical="center"/>
    </xf>
    <xf numFmtId="0" fontId="31" fillId="0" borderId="0" xfId="0" applyFont="1" applyBorder="1" applyAlignment="1">
      <alignment horizontal="center" vertical="center"/>
    </xf>
    <xf numFmtId="0" fontId="27" fillId="0" borderId="104" xfId="0" applyFont="1" applyBorder="1" applyAlignment="1">
      <alignment horizontal="center" vertical="center"/>
    </xf>
    <xf numFmtId="0" fontId="26" fillId="0" borderId="105" xfId="0" applyFont="1" applyBorder="1" applyAlignment="1">
      <alignment horizontal="center" vertical="center"/>
    </xf>
    <xf numFmtId="0" fontId="27" fillId="0" borderId="106" xfId="0" applyFont="1" applyBorder="1" applyAlignment="1">
      <alignment horizontal="center" vertical="center"/>
    </xf>
    <xf numFmtId="0" fontId="27" fillId="0" borderId="107" xfId="0" applyFont="1" applyBorder="1" applyAlignment="1">
      <alignment horizontal="center" vertical="center"/>
    </xf>
    <xf numFmtId="0" fontId="27" fillId="0" borderId="108" xfId="0" applyFont="1" applyBorder="1" applyAlignment="1">
      <alignment horizontal="center" vertical="center"/>
    </xf>
    <xf numFmtId="0" fontId="27" fillId="0" borderId="0" xfId="0" applyFont="1" applyBorder="1" applyAlignment="1">
      <alignment horizontal="center" vertical="center"/>
    </xf>
    <xf numFmtId="4" fontId="31" fillId="0" borderId="109" xfId="0" applyNumberFormat="1" applyFont="1" applyBorder="1" applyAlignment="1">
      <alignment vertical="center"/>
    </xf>
    <xf numFmtId="4" fontId="31" fillId="0" borderId="110" xfId="0" applyNumberFormat="1" applyFont="1" applyBorder="1" applyAlignment="1">
      <alignment vertical="center"/>
    </xf>
    <xf numFmtId="0" fontId="26" fillId="0" borderId="111" xfId="0" applyFont="1" applyBorder="1" applyAlignment="1">
      <alignment horizontal="center" vertical="center"/>
    </xf>
    <xf numFmtId="0" fontId="26" fillId="0" borderId="112" xfId="0" applyFont="1" applyBorder="1" applyAlignment="1" quotePrefix="1">
      <alignment horizontal="center" vertical="center"/>
    </xf>
    <xf numFmtId="0" fontId="26" fillId="0" borderId="113" xfId="0" applyFont="1" applyBorder="1" applyAlignment="1">
      <alignment horizontal="center" vertical="center"/>
    </xf>
    <xf numFmtId="0" fontId="26" fillId="0" borderId="114" xfId="0" applyFont="1" applyBorder="1" applyAlignment="1">
      <alignment horizontal="center" vertical="center"/>
    </xf>
    <xf numFmtId="4" fontId="26" fillId="0" borderId="115" xfId="0" applyNumberFormat="1" applyFont="1" applyFill="1" applyBorder="1" applyAlignment="1">
      <alignment horizontal="center" vertical="center"/>
    </xf>
    <xf numFmtId="43" fontId="26" fillId="0" borderId="116" xfId="61" applyFont="1" applyFill="1" applyBorder="1" applyAlignment="1">
      <alignment horizontal="center" vertical="center"/>
    </xf>
    <xf numFmtId="43" fontId="26" fillId="0" borderId="117" xfId="61" applyFont="1" applyFill="1" applyBorder="1" applyAlignment="1">
      <alignment horizontal="center" vertical="center"/>
    </xf>
    <xf numFmtId="43" fontId="26" fillId="0" borderId="112" xfId="61" applyFont="1" applyBorder="1" applyAlignment="1">
      <alignment horizontal="center" vertical="center"/>
    </xf>
    <xf numFmtId="4" fontId="26" fillId="0" borderId="116" xfId="0" applyNumberFormat="1" applyFont="1" applyBorder="1" applyAlignment="1">
      <alignment vertical="center"/>
    </xf>
    <xf numFmtId="4" fontId="26" fillId="0" borderId="118" xfId="0" applyNumberFormat="1" applyFont="1" applyBorder="1" applyAlignment="1">
      <alignment vertical="center"/>
    </xf>
    <xf numFmtId="4" fontId="26" fillId="0" borderId="115" xfId="0" applyNumberFormat="1" applyFont="1" applyBorder="1" applyAlignment="1">
      <alignment horizontal="center" vertical="center"/>
    </xf>
    <xf numFmtId="43" fontId="26" fillId="0" borderId="116" xfId="61" applyFont="1" applyBorder="1" applyAlignment="1">
      <alignment horizontal="center" vertical="center"/>
    </xf>
    <xf numFmtId="0" fontId="26" fillId="0" borderId="119" xfId="0" applyFont="1" applyBorder="1" applyAlignment="1">
      <alignment horizontal="center" vertical="center"/>
    </xf>
    <xf numFmtId="0" fontId="26" fillId="0" borderId="113" xfId="0" applyFont="1" applyFill="1" applyBorder="1" applyAlignment="1">
      <alignment horizontal="center" vertical="center"/>
    </xf>
    <xf numFmtId="0" fontId="26" fillId="0" borderId="114" xfId="0" applyFont="1" applyFill="1" applyBorder="1" applyAlignment="1">
      <alignment horizontal="center" vertical="center"/>
    </xf>
    <xf numFmtId="43" fontId="26" fillId="0" borderId="117" xfId="61" applyFont="1" applyBorder="1" applyAlignment="1">
      <alignment horizontal="center" vertical="center"/>
    </xf>
    <xf numFmtId="4" fontId="26" fillId="0" borderId="116" xfId="0" applyNumberFormat="1" applyFont="1" applyFill="1" applyBorder="1" applyAlignment="1">
      <alignment vertical="center"/>
    </xf>
    <xf numFmtId="4" fontId="26" fillId="0" borderId="118" xfId="0" applyNumberFormat="1" applyFont="1" applyFill="1" applyBorder="1" applyAlignment="1">
      <alignment vertical="center"/>
    </xf>
    <xf numFmtId="0" fontId="28" fillId="0" borderId="103" xfId="0" applyFont="1" applyFill="1" applyBorder="1" applyAlignment="1">
      <alignment horizontal="center" vertical="center"/>
    </xf>
    <xf numFmtId="0" fontId="26" fillId="0" borderId="0" xfId="0" applyFont="1" applyFill="1" applyBorder="1" applyAlignment="1" quotePrefix="1">
      <alignment horizontal="center" vertical="center"/>
    </xf>
    <xf numFmtId="0" fontId="26" fillId="0" borderId="120" xfId="0" applyFont="1" applyFill="1" applyBorder="1" applyAlignment="1">
      <alignment horizontal="center" vertical="center"/>
    </xf>
    <xf numFmtId="0" fontId="26" fillId="0" borderId="121" xfId="0" applyFont="1" applyFill="1" applyBorder="1" applyAlignment="1">
      <alignment horizontal="center" vertical="center"/>
    </xf>
    <xf numFmtId="4" fontId="26" fillId="0" borderId="122" xfId="0" applyNumberFormat="1" applyFont="1" applyBorder="1" applyAlignment="1">
      <alignment horizontal="center" vertical="center"/>
    </xf>
    <xf numFmtId="43" fontId="26" fillId="0" borderId="123" xfId="61" applyFont="1" applyBorder="1" applyAlignment="1">
      <alignment horizontal="center" vertical="center"/>
    </xf>
    <xf numFmtId="43" fontId="26" fillId="0" borderId="124" xfId="61" applyFont="1" applyBorder="1" applyAlignment="1">
      <alignment horizontal="center" vertical="center"/>
    </xf>
    <xf numFmtId="43" fontId="26" fillId="0" borderId="125" xfId="61" applyFont="1" applyBorder="1" applyAlignment="1">
      <alignment horizontal="center" vertical="center"/>
    </xf>
    <xf numFmtId="4" fontId="26" fillId="0" borderId="123" xfId="0" applyNumberFormat="1" applyFont="1" applyFill="1" applyBorder="1" applyAlignment="1">
      <alignment vertical="center"/>
    </xf>
    <xf numFmtId="4" fontId="26" fillId="0" borderId="126" xfId="0" applyNumberFormat="1" applyFont="1" applyFill="1" applyBorder="1" applyAlignment="1">
      <alignment vertical="center"/>
    </xf>
    <xf numFmtId="43" fontId="27" fillId="0" borderId="99" xfId="61" applyFont="1" applyBorder="1" applyAlignment="1">
      <alignment horizontal="center" vertical="center"/>
    </xf>
    <xf numFmtId="43" fontId="27" fillId="0" borderId="100" xfId="61" applyFont="1" applyBorder="1" applyAlignment="1">
      <alignment horizontal="center" vertical="center"/>
    </xf>
    <xf numFmtId="43" fontId="27" fillId="0" borderId="101" xfId="61" applyFont="1" applyBorder="1" applyAlignment="1">
      <alignment horizontal="center" vertical="center"/>
    </xf>
    <xf numFmtId="4" fontId="26" fillId="0" borderId="99" xfId="0" applyNumberFormat="1" applyFont="1" applyBorder="1" applyAlignment="1">
      <alignment vertical="center"/>
    </xf>
    <xf numFmtId="4" fontId="26" fillId="0" borderId="102" xfId="0" applyNumberFormat="1" applyFont="1" applyBorder="1" applyAlignment="1">
      <alignment vertical="center"/>
    </xf>
    <xf numFmtId="0" fontId="31" fillId="0" borderId="127" xfId="0" applyFont="1" applyBorder="1" applyAlignment="1">
      <alignment horizontal="center" vertical="center"/>
    </xf>
    <xf numFmtId="0" fontId="27" fillId="0" borderId="128" xfId="0" applyFont="1" applyBorder="1" applyAlignment="1">
      <alignment horizontal="center" vertical="center"/>
    </xf>
    <xf numFmtId="0" fontId="26" fillId="0" borderId="129" xfId="0" applyFont="1" applyBorder="1" applyAlignment="1">
      <alignment horizontal="center" vertical="center"/>
    </xf>
    <xf numFmtId="0" fontId="27" fillId="0" borderId="130" xfId="0" applyFont="1" applyBorder="1" applyAlignment="1">
      <alignment horizontal="center" vertical="center"/>
    </xf>
    <xf numFmtId="43" fontId="27" fillId="0" borderId="109" xfId="61" applyFont="1" applyBorder="1" applyAlignment="1">
      <alignment horizontal="center" vertical="center"/>
    </xf>
    <xf numFmtId="43" fontId="27" fillId="0" borderId="131" xfId="61" applyFont="1" applyBorder="1" applyAlignment="1">
      <alignment horizontal="center" vertical="center"/>
    </xf>
    <xf numFmtId="43" fontId="27" fillId="0" borderId="127" xfId="61" applyFont="1" applyBorder="1" applyAlignment="1">
      <alignment horizontal="center" vertical="center"/>
    </xf>
    <xf numFmtId="4" fontId="26" fillId="0" borderId="109" xfId="0" applyNumberFormat="1" applyFont="1" applyBorder="1" applyAlignment="1">
      <alignment vertical="center"/>
    </xf>
    <xf numFmtId="4" fontId="26" fillId="0" borderId="110" xfId="0" applyNumberFormat="1" applyFont="1" applyBorder="1" applyAlignment="1">
      <alignment vertical="center"/>
    </xf>
    <xf numFmtId="0" fontId="26" fillId="0" borderId="112" xfId="0" applyFont="1" applyBorder="1" applyAlignment="1">
      <alignment vertical="center" wrapText="1"/>
    </xf>
    <xf numFmtId="4" fontId="26" fillId="0" borderId="116" xfId="0" applyNumberFormat="1" applyFont="1" applyBorder="1" applyAlignment="1">
      <alignment horizontal="right" vertical="center"/>
    </xf>
    <xf numFmtId="4" fontId="26" fillId="0" borderId="118" xfId="0" applyNumberFormat="1" applyFont="1" applyBorder="1" applyAlignment="1">
      <alignment horizontal="right" vertical="center"/>
    </xf>
    <xf numFmtId="4" fontId="26" fillId="0" borderId="116" xfId="0" applyNumberFormat="1" applyFont="1" applyBorder="1" applyAlignment="1">
      <alignment horizontal="right" vertical="center" wrapText="1"/>
    </xf>
    <xf numFmtId="4" fontId="26" fillId="0" borderId="118" xfId="0" applyNumberFormat="1" applyFont="1" applyBorder="1" applyAlignment="1">
      <alignment horizontal="right" vertical="center" wrapText="1"/>
    </xf>
    <xf numFmtId="0" fontId="26" fillId="0" borderId="112" xfId="0" applyFont="1" applyFill="1" applyBorder="1" applyAlignment="1">
      <alignment vertical="center" wrapText="1"/>
    </xf>
    <xf numFmtId="43" fontId="26" fillId="0" borderId="125" xfId="61" applyFont="1" applyFill="1" applyBorder="1" applyAlignment="1">
      <alignment horizontal="center" vertical="center"/>
    </xf>
    <xf numFmtId="0" fontId="26" fillId="0" borderId="125" xfId="0" applyFont="1" applyBorder="1" applyAlignment="1" quotePrefix="1">
      <alignment horizontal="center" vertical="center"/>
    </xf>
    <xf numFmtId="0" fontId="26" fillId="0" borderId="120" xfId="0" applyFont="1" applyBorder="1" applyAlignment="1">
      <alignment horizontal="center" vertical="center"/>
    </xf>
    <xf numFmtId="0" fontId="26" fillId="0" borderId="121" xfId="0" applyFont="1" applyBorder="1" applyAlignment="1">
      <alignment horizontal="center" vertical="center"/>
    </xf>
    <xf numFmtId="0" fontId="26" fillId="0" borderId="125" xfId="0" applyFont="1" applyBorder="1" applyAlignment="1">
      <alignment vertical="center" wrapText="1"/>
    </xf>
    <xf numFmtId="4" fontId="26" fillId="0" borderId="122" xfId="0" applyNumberFormat="1" applyFont="1" applyFill="1" applyBorder="1" applyAlignment="1">
      <alignment horizontal="center" vertical="center"/>
    </xf>
    <xf numFmtId="43" fontId="26" fillId="0" borderId="123" xfId="61" applyFont="1" applyFill="1" applyBorder="1" applyAlignment="1">
      <alignment horizontal="center" vertical="center"/>
    </xf>
    <xf numFmtId="43" fontId="26" fillId="0" borderId="124" xfId="61" applyFont="1" applyFill="1" applyBorder="1" applyAlignment="1">
      <alignment horizontal="center" vertical="center"/>
    </xf>
    <xf numFmtId="4" fontId="26" fillId="0" borderId="123" xfId="0" applyNumberFormat="1" applyFont="1" applyBorder="1" applyAlignment="1">
      <alignment vertical="center"/>
    </xf>
    <xf numFmtId="4" fontId="26" fillId="0" borderId="126" xfId="0" applyNumberFormat="1" applyFont="1" applyBorder="1" applyAlignment="1">
      <alignment vertical="center"/>
    </xf>
    <xf numFmtId="0" fontId="27" fillId="0" borderId="97" xfId="0" applyFont="1" applyBorder="1" applyAlignment="1">
      <alignment horizontal="center" vertical="center"/>
    </xf>
    <xf numFmtId="0" fontId="27" fillId="0" borderId="128" xfId="0" applyFont="1" applyBorder="1" applyAlignment="1">
      <alignment horizontal="center" vertical="center"/>
    </xf>
    <xf numFmtId="43" fontId="26" fillId="0" borderId="112" xfId="61" applyFont="1" applyFill="1" applyBorder="1" applyAlignment="1">
      <alignment horizontal="center" vertical="center"/>
    </xf>
    <xf numFmtId="0" fontId="26" fillId="0" borderId="132" xfId="0" applyFont="1" applyBorder="1" applyAlignment="1">
      <alignment horizontal="center" vertical="center"/>
    </xf>
    <xf numFmtId="0" fontId="28" fillId="0" borderId="103" xfId="0" applyFont="1" applyBorder="1" applyAlignment="1">
      <alignment horizontal="center" vertical="center"/>
    </xf>
    <xf numFmtId="0" fontId="26" fillId="0" borderId="133" xfId="0" applyFont="1" applyBorder="1" applyAlignment="1">
      <alignment vertical="center" wrapText="1"/>
    </xf>
    <xf numFmtId="4" fontId="26" fillId="0" borderId="115" xfId="0" applyNumberFormat="1" applyFont="1" applyFill="1" applyBorder="1" applyAlignment="1">
      <alignment horizontal="center" vertical="center"/>
    </xf>
    <xf numFmtId="0" fontId="26" fillId="0" borderId="133" xfId="0" applyFont="1" applyFill="1" applyBorder="1" applyAlignment="1">
      <alignment vertical="center" wrapText="1"/>
    </xf>
    <xf numFmtId="0" fontId="26" fillId="0" borderId="134" xfId="0" applyFont="1" applyFill="1" applyBorder="1" applyAlignment="1">
      <alignment vertical="center" wrapText="1"/>
    </xf>
    <xf numFmtId="0" fontId="26" fillId="0" borderId="0" xfId="0" applyFont="1" applyBorder="1" applyAlignment="1" quotePrefix="1">
      <alignment horizontal="center" vertical="center"/>
    </xf>
    <xf numFmtId="43" fontId="27" fillId="0" borderId="131" xfId="61" applyNumberFormat="1" applyFont="1" applyBorder="1" applyAlignment="1">
      <alignment horizontal="center" vertical="center"/>
    </xf>
    <xf numFmtId="0" fontId="26" fillId="0" borderId="135" xfId="0" applyFont="1" applyBorder="1" applyAlignment="1">
      <alignment horizontal="center" vertical="center"/>
    </xf>
    <xf numFmtId="0" fontId="26" fillId="0" borderId="136" xfId="0" applyFont="1" applyBorder="1" applyAlignment="1" quotePrefix="1">
      <alignment horizontal="center" vertical="center"/>
    </xf>
    <xf numFmtId="0" fontId="26" fillId="0" borderId="137" xfId="0" applyFont="1" applyFill="1" applyBorder="1" applyAlignment="1">
      <alignment horizontal="center" vertical="center"/>
    </xf>
    <xf numFmtId="0" fontId="26" fillId="0" borderId="138" xfId="0" applyFont="1" applyFill="1" applyBorder="1" applyAlignment="1">
      <alignment horizontal="center" vertical="center"/>
    </xf>
    <xf numFmtId="0" fontId="26" fillId="0" borderId="139" xfId="0" applyFont="1" applyFill="1" applyBorder="1" applyAlignment="1">
      <alignment vertical="center" wrapText="1"/>
    </xf>
    <xf numFmtId="4" fontId="26" fillId="0" borderId="140" xfId="0" applyNumberFormat="1" applyFont="1" applyFill="1" applyBorder="1" applyAlignment="1">
      <alignment horizontal="center" vertical="center"/>
    </xf>
    <xf numFmtId="43" fontId="26" fillId="0" borderId="141" xfId="61" applyFont="1" applyFill="1" applyBorder="1" applyAlignment="1">
      <alignment horizontal="center" vertical="center"/>
    </xf>
    <xf numFmtId="43" fontId="26" fillId="0" borderId="142" xfId="61" applyFont="1" applyFill="1" applyBorder="1" applyAlignment="1">
      <alignment horizontal="center" vertical="center"/>
    </xf>
    <xf numFmtId="43" fontId="26" fillId="0" borderId="136" xfId="61" applyFont="1" applyFill="1" applyBorder="1" applyAlignment="1">
      <alignment horizontal="center" vertical="center"/>
    </xf>
    <xf numFmtId="4" fontId="26" fillId="0" borderId="141" xfId="0" applyNumberFormat="1" applyFont="1" applyFill="1" applyBorder="1" applyAlignment="1">
      <alignment vertical="center"/>
    </xf>
    <xf numFmtId="4" fontId="26" fillId="0" borderId="143" xfId="0" applyNumberFormat="1" applyFont="1" applyFill="1" applyBorder="1" applyAlignment="1">
      <alignment vertical="center"/>
    </xf>
    <xf numFmtId="0" fontId="26" fillId="0" borderId="144" xfId="0" applyFont="1" applyBorder="1" applyAlignment="1">
      <alignment horizontal="center" vertical="center"/>
    </xf>
    <xf numFmtId="0" fontId="26" fillId="0" borderId="145" xfId="0" applyFont="1" applyBorder="1" applyAlignment="1" quotePrefix="1">
      <alignment horizontal="center" vertical="center"/>
    </xf>
    <xf numFmtId="0" fontId="26" fillId="0" borderId="146" xfId="0" applyFont="1" applyFill="1" applyBorder="1" applyAlignment="1">
      <alignment horizontal="center" vertical="center"/>
    </xf>
    <xf numFmtId="0" fontId="26" fillId="0" borderId="147" xfId="0" applyFont="1" applyFill="1" applyBorder="1" applyAlignment="1">
      <alignment horizontal="center" vertical="center"/>
    </xf>
    <xf numFmtId="0" fontId="26" fillId="0" borderId="148" xfId="0" applyFont="1" applyFill="1" applyBorder="1" applyAlignment="1">
      <alignment vertical="center" wrapText="1"/>
    </xf>
    <xf numFmtId="4" fontId="26" fillId="0" borderId="149" xfId="0" applyNumberFormat="1" applyFont="1" applyFill="1" applyBorder="1" applyAlignment="1">
      <alignment horizontal="center" vertical="center"/>
    </xf>
    <xf numFmtId="43" fontId="26" fillId="0" borderId="150" xfId="61" applyFont="1" applyFill="1" applyBorder="1" applyAlignment="1">
      <alignment horizontal="center" vertical="center"/>
    </xf>
    <xf numFmtId="43" fontId="26" fillId="0" borderId="151" xfId="61" applyFont="1" applyFill="1" applyBorder="1" applyAlignment="1">
      <alignment horizontal="center" vertical="center"/>
    </xf>
    <xf numFmtId="43" fontId="26" fillId="0" borderId="145" xfId="61" applyFont="1" applyFill="1" applyBorder="1" applyAlignment="1">
      <alignment horizontal="center" vertical="center"/>
    </xf>
    <xf numFmtId="4" fontId="26" fillId="0" borderId="150" xfId="0" applyNumberFormat="1" applyFont="1" applyFill="1" applyBorder="1" applyAlignment="1">
      <alignment vertical="center"/>
    </xf>
    <xf numFmtId="4" fontId="26" fillId="0" borderId="152" xfId="0" applyNumberFormat="1" applyFont="1" applyFill="1" applyBorder="1" applyAlignment="1">
      <alignment vertical="center"/>
    </xf>
    <xf numFmtId="0" fontId="27" fillId="0" borderId="89" xfId="0" applyFont="1" applyBorder="1" applyAlignment="1">
      <alignment horizontal="center" vertical="center"/>
    </xf>
    <xf numFmtId="0" fontId="27" fillId="0" borderId="153" xfId="0" applyFont="1" applyBorder="1" applyAlignment="1">
      <alignment horizontal="center" vertical="center"/>
    </xf>
    <xf numFmtId="0" fontId="27" fillId="0" borderId="73" xfId="0" applyFont="1" applyBorder="1" applyAlignment="1">
      <alignment horizontal="center" vertical="center"/>
    </xf>
    <xf numFmtId="0" fontId="26" fillId="0" borderId="73" xfId="0" applyFont="1" applyBorder="1" applyAlignment="1">
      <alignment horizontal="center" vertical="center"/>
    </xf>
    <xf numFmtId="43" fontId="27" fillId="0" borderId="73" xfId="61" applyFont="1" applyBorder="1" applyAlignment="1">
      <alignment horizontal="center" vertical="center"/>
    </xf>
    <xf numFmtId="4" fontId="26" fillId="0" borderId="73" xfId="0" applyNumberFormat="1" applyFont="1" applyBorder="1" applyAlignment="1">
      <alignment vertical="center"/>
    </xf>
    <xf numFmtId="4" fontId="26" fillId="0" borderId="96" xfId="0" applyNumberFormat="1" applyFont="1" applyBorder="1" applyAlignment="1">
      <alignment vertical="center"/>
    </xf>
    <xf numFmtId="0" fontId="26" fillId="0" borderId="154" xfId="0" applyFont="1" applyBorder="1" applyAlignment="1">
      <alignment horizontal="center" vertical="center"/>
    </xf>
    <xf numFmtId="0" fontId="26" fillId="0" borderId="71" xfId="0" applyFont="1" applyBorder="1" applyAlignment="1" quotePrefix="1">
      <alignment horizontal="center" vertical="center"/>
    </xf>
    <xf numFmtId="0" fontId="26" fillId="0" borderId="27" xfId="0" applyFont="1" applyFill="1" applyBorder="1" applyAlignment="1">
      <alignment horizontal="center" vertical="center"/>
    </xf>
    <xf numFmtId="0" fontId="26" fillId="0" borderId="27" xfId="0" applyFont="1" applyFill="1" applyBorder="1" applyAlignment="1">
      <alignment vertical="center" wrapText="1"/>
    </xf>
    <xf numFmtId="4" fontId="26" fillId="0" borderId="27" xfId="0" applyNumberFormat="1" applyFont="1" applyFill="1" applyBorder="1" applyAlignment="1">
      <alignment horizontal="center" vertical="center"/>
    </xf>
    <xf numFmtId="43" fontId="26" fillId="0" borderId="27" xfId="61" applyFont="1" applyBorder="1" applyAlignment="1">
      <alignment horizontal="center" vertical="center"/>
    </xf>
    <xf numFmtId="4" fontId="26" fillId="0" borderId="27" xfId="0" applyNumberFormat="1" applyFont="1" applyFill="1" applyBorder="1" applyAlignment="1">
      <alignment vertical="center"/>
    </xf>
    <xf numFmtId="4" fontId="26" fillId="0" borderId="155" xfId="0" applyNumberFormat="1" applyFont="1" applyFill="1" applyBorder="1" applyAlignment="1">
      <alignment vertical="center"/>
    </xf>
    <xf numFmtId="0" fontId="28" fillId="0" borderId="154" xfId="0" applyFont="1" applyBorder="1" applyAlignment="1">
      <alignment horizontal="center" vertical="center"/>
    </xf>
    <xf numFmtId="4" fontId="26" fillId="0" borderId="27" xfId="0" applyNumberFormat="1" applyFont="1" applyBorder="1" applyAlignment="1">
      <alignment horizontal="center" vertical="center"/>
    </xf>
    <xf numFmtId="4" fontId="26" fillId="0" borderId="98" xfId="0" applyNumberFormat="1" applyFont="1" applyFill="1" applyBorder="1" applyAlignment="1">
      <alignment horizontal="center" vertical="center"/>
    </xf>
    <xf numFmtId="43" fontId="26" fillId="0" borderId="99" xfId="61" applyFont="1" applyFill="1" applyBorder="1" applyAlignment="1">
      <alignment horizontal="center" vertical="center"/>
    </xf>
    <xf numFmtId="43" fontId="26" fillId="0" borderId="100" xfId="61" applyFont="1" applyFill="1" applyBorder="1" applyAlignment="1">
      <alignment horizontal="center" vertical="center"/>
    </xf>
    <xf numFmtId="43" fontId="26" fillId="0" borderId="101" xfId="61" applyFont="1" applyFill="1" applyBorder="1" applyAlignment="1">
      <alignment horizontal="center" vertical="center"/>
    </xf>
    <xf numFmtId="0" fontId="26" fillId="0" borderId="127" xfId="0" applyFont="1" applyFill="1" applyBorder="1" applyAlignment="1">
      <alignment horizontal="center" vertical="center"/>
    </xf>
    <xf numFmtId="4" fontId="26" fillId="0" borderId="130" xfId="0" applyNumberFormat="1" applyFont="1" applyFill="1" applyBorder="1" applyAlignment="1">
      <alignment horizontal="center" vertical="center"/>
    </xf>
    <xf numFmtId="43" fontId="26" fillId="0" borderId="109" xfId="61" applyFont="1" applyFill="1" applyBorder="1" applyAlignment="1">
      <alignment horizontal="center" vertical="center"/>
    </xf>
    <xf numFmtId="43" fontId="26" fillId="0" borderId="131" xfId="61" applyFont="1" applyFill="1" applyBorder="1" applyAlignment="1">
      <alignment horizontal="center" vertical="center"/>
    </xf>
    <xf numFmtId="43" fontId="26" fillId="0" borderId="127" xfId="61" applyFont="1" applyFill="1" applyBorder="1" applyAlignment="1">
      <alignment horizontal="center" vertical="center"/>
    </xf>
    <xf numFmtId="0" fontId="26" fillId="0" borderId="119" xfId="0" applyFont="1" applyFill="1" applyBorder="1" applyAlignment="1">
      <alignment horizontal="center" vertical="center"/>
    </xf>
    <xf numFmtId="0" fontId="27" fillId="0" borderId="0" xfId="0" applyFont="1" applyBorder="1" applyAlignment="1">
      <alignment horizontal="center" vertical="center"/>
    </xf>
    <xf numFmtId="0" fontId="26" fillId="0" borderId="134" xfId="0" applyFont="1" applyBorder="1" applyAlignment="1">
      <alignment vertical="center" wrapText="1"/>
    </xf>
    <xf numFmtId="14" fontId="26" fillId="0" borderId="113" xfId="0" applyNumberFormat="1" applyFont="1" applyBorder="1" applyAlignment="1">
      <alignment horizontal="center" vertical="center"/>
    </xf>
    <xf numFmtId="0" fontId="29" fillId="0" borderId="97"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98" xfId="0" applyFont="1" applyBorder="1" applyAlignment="1">
      <alignment horizontal="center" vertical="center" wrapText="1"/>
    </xf>
    <xf numFmtId="43" fontId="29" fillId="0" borderId="99" xfId="61" applyFont="1" applyBorder="1" applyAlignment="1">
      <alignment horizontal="center" vertical="center" wrapText="1"/>
    </xf>
    <xf numFmtId="43" fontId="29" fillId="0" borderId="100" xfId="61" applyFont="1" applyBorder="1" applyAlignment="1">
      <alignment horizontal="center" vertical="center" wrapText="1"/>
    </xf>
    <xf numFmtId="43" fontId="29" fillId="0" borderId="101" xfId="61" applyFont="1" applyBorder="1" applyAlignment="1">
      <alignment horizontal="center" vertical="center" wrapText="1"/>
    </xf>
    <xf numFmtId="4" fontId="29" fillId="0" borderId="99" xfId="0" applyNumberFormat="1" applyFont="1" applyFill="1" applyBorder="1" applyAlignment="1">
      <alignment horizontal="right" vertical="center" wrapText="1"/>
    </xf>
    <xf numFmtId="4" fontId="29" fillId="0" borderId="102" xfId="0" applyNumberFormat="1" applyFont="1" applyFill="1" applyBorder="1" applyAlignment="1">
      <alignment horizontal="right" vertical="center" wrapText="1"/>
    </xf>
    <xf numFmtId="0" fontId="30" fillId="0" borderId="103" xfId="0" applyFont="1" applyBorder="1" applyAlignment="1">
      <alignment horizontal="center" vertical="center"/>
    </xf>
    <xf numFmtId="0" fontId="26" fillId="0" borderId="127" xfId="0" applyFont="1" applyBorder="1" applyAlignment="1" quotePrefix="1">
      <alignment horizontal="center" vertical="center"/>
    </xf>
    <xf numFmtId="0" fontId="29" fillId="0" borderId="128" xfId="0" applyFont="1" applyBorder="1" applyAlignment="1">
      <alignment horizontal="center" vertical="center" wrapText="1"/>
    </xf>
    <xf numFmtId="0" fontId="29" fillId="0" borderId="129" xfId="0" applyFont="1" applyBorder="1" applyAlignment="1">
      <alignment horizontal="center" vertical="center" wrapText="1"/>
    </xf>
    <xf numFmtId="0" fontId="29" fillId="0" borderId="130" xfId="0" applyFont="1" applyBorder="1" applyAlignment="1">
      <alignment horizontal="center" vertical="center" wrapText="1"/>
    </xf>
    <xf numFmtId="43" fontId="29" fillId="0" borderId="109" xfId="61" applyFont="1" applyBorder="1" applyAlignment="1">
      <alignment horizontal="center" vertical="center" wrapText="1"/>
    </xf>
    <xf numFmtId="43" fontId="29" fillId="0" borderId="131" xfId="61" applyFont="1" applyBorder="1" applyAlignment="1">
      <alignment horizontal="center" vertical="center" wrapText="1"/>
    </xf>
    <xf numFmtId="43" fontId="29" fillId="0" borderId="127" xfId="61" applyFont="1" applyBorder="1" applyAlignment="1">
      <alignment horizontal="center" vertical="center" wrapText="1"/>
    </xf>
    <xf numFmtId="4" fontId="29" fillId="0" borderId="109" xfId="0" applyNumberFormat="1" applyFont="1" applyFill="1" applyBorder="1" applyAlignment="1">
      <alignment horizontal="right" vertical="center" wrapText="1"/>
    </xf>
    <xf numFmtId="4" fontId="29" fillId="0" borderId="110" xfId="0" applyNumberFormat="1" applyFont="1" applyFill="1" applyBorder="1" applyAlignment="1">
      <alignment horizontal="right" vertical="center" wrapText="1"/>
    </xf>
    <xf numFmtId="0" fontId="26" fillId="0" borderId="97" xfId="0" applyFont="1" applyBorder="1" applyAlignment="1">
      <alignment horizontal="center" vertical="center"/>
    </xf>
    <xf numFmtId="4" fontId="26" fillId="0" borderId="98" xfId="0" applyNumberFormat="1" applyFont="1" applyBorder="1" applyAlignment="1">
      <alignment horizontal="center" vertical="center"/>
    </xf>
    <xf numFmtId="43" fontId="26" fillId="0" borderId="99" xfId="61" applyFont="1" applyBorder="1" applyAlignment="1">
      <alignment horizontal="center" vertical="center"/>
    </xf>
    <xf numFmtId="43" fontId="26" fillId="0" borderId="100" xfId="61" applyFont="1" applyBorder="1" applyAlignment="1">
      <alignment horizontal="center" vertical="center"/>
    </xf>
    <xf numFmtId="43" fontId="26" fillId="0" borderId="101" xfId="61" applyFont="1" applyBorder="1" applyAlignment="1">
      <alignment horizontal="center" vertical="center"/>
    </xf>
    <xf numFmtId="0" fontId="26" fillId="0" borderId="128" xfId="0" applyFont="1" applyBorder="1" applyAlignment="1">
      <alignment horizontal="center" vertical="center"/>
    </xf>
    <xf numFmtId="4" fontId="26" fillId="0" borderId="130" xfId="0" applyNumberFormat="1" applyFont="1" applyBorder="1" applyAlignment="1">
      <alignment horizontal="center" vertical="center"/>
    </xf>
    <xf numFmtId="43" fontId="26" fillId="0" borderId="109" xfId="61" applyFont="1" applyBorder="1" applyAlignment="1">
      <alignment horizontal="center" vertical="center"/>
    </xf>
    <xf numFmtId="43" fontId="26" fillId="0" borderId="131" xfId="61" applyFont="1" applyBorder="1" applyAlignment="1">
      <alignment horizontal="center" vertical="center"/>
    </xf>
    <xf numFmtId="43" fontId="26" fillId="0" borderId="127" xfId="61" applyFont="1" applyBorder="1" applyAlignment="1">
      <alignment horizontal="center" vertical="center"/>
    </xf>
    <xf numFmtId="43" fontId="26" fillId="0" borderId="141" xfId="61" applyFont="1" applyBorder="1" applyAlignment="1">
      <alignment horizontal="center" vertical="center"/>
    </xf>
    <xf numFmtId="43" fontId="26" fillId="0" borderId="142" xfId="61" applyFont="1" applyBorder="1" applyAlignment="1">
      <alignment horizontal="center" vertical="center"/>
    </xf>
    <xf numFmtId="43" fontId="26" fillId="0" borderId="136" xfId="61" applyFont="1" applyBorder="1" applyAlignment="1">
      <alignment horizontal="center" vertical="center"/>
    </xf>
    <xf numFmtId="0" fontId="26" fillId="0" borderId="97" xfId="0" applyFont="1" applyFill="1" applyBorder="1" applyAlignment="1">
      <alignment horizontal="center" vertical="center"/>
    </xf>
    <xf numFmtId="0" fontId="26" fillId="0" borderId="32" xfId="0" applyFont="1" applyFill="1" applyBorder="1" applyAlignment="1">
      <alignment horizontal="center" vertical="center"/>
    </xf>
    <xf numFmtId="4" fontId="26" fillId="0" borderId="99" xfId="0" applyNumberFormat="1" applyFont="1" applyFill="1" applyBorder="1" applyAlignment="1">
      <alignment vertical="center"/>
    </xf>
    <xf numFmtId="4" fontId="26" fillId="0" borderId="102" xfId="0" applyNumberFormat="1" applyFont="1" applyFill="1" applyBorder="1" applyAlignment="1">
      <alignment vertical="center"/>
    </xf>
    <xf numFmtId="0" fontId="26" fillId="0" borderId="128" xfId="0" applyFont="1" applyFill="1" applyBorder="1" applyAlignment="1">
      <alignment horizontal="center" vertical="center"/>
    </xf>
    <xf numFmtId="0" fontId="26" fillId="0" borderId="129" xfId="0" applyFont="1" applyFill="1" applyBorder="1" applyAlignment="1">
      <alignment horizontal="center" vertical="center"/>
    </xf>
    <xf numFmtId="4" fontId="26" fillId="0" borderId="109" xfId="0" applyNumberFormat="1" applyFont="1" applyFill="1" applyBorder="1" applyAlignment="1">
      <alignment vertical="center"/>
    </xf>
    <xf numFmtId="4" fontId="26" fillId="0" borderId="110" xfId="0" applyNumberFormat="1" applyFont="1" applyFill="1" applyBorder="1" applyAlignment="1">
      <alignment vertical="center"/>
    </xf>
    <xf numFmtId="0" fontId="26" fillId="0" borderId="125" xfId="0" applyFont="1" applyFill="1" applyBorder="1" applyAlignment="1" quotePrefix="1">
      <alignment horizontal="center" vertical="center"/>
    </xf>
    <xf numFmtId="0" fontId="26" fillId="0" borderId="127" xfId="0" applyFont="1" applyFill="1" applyBorder="1" applyAlignment="1" quotePrefix="1">
      <alignment horizontal="center" vertical="center"/>
    </xf>
    <xf numFmtId="0" fontId="26" fillId="0" borderId="112" xfId="0" applyFont="1" applyFill="1" applyBorder="1" applyAlignment="1" quotePrefix="1">
      <alignment horizontal="center" vertical="center"/>
    </xf>
    <xf numFmtId="4" fontId="26" fillId="0" borderId="115" xfId="0" applyNumberFormat="1" applyFont="1" applyFill="1" applyBorder="1" applyAlignment="1">
      <alignment horizontal="center" vertical="center" wrapText="1"/>
    </xf>
    <xf numFmtId="43" fontId="26" fillId="0" borderId="116" xfId="61" applyFont="1" applyFill="1" applyBorder="1" applyAlignment="1">
      <alignment horizontal="center" vertical="center" wrapText="1"/>
    </xf>
    <xf numFmtId="43" fontId="26" fillId="0" borderId="117" xfId="61" applyFont="1" applyFill="1" applyBorder="1" applyAlignment="1">
      <alignment horizontal="center" vertical="center" wrapText="1"/>
    </xf>
    <xf numFmtId="43" fontId="26" fillId="0" borderId="112" xfId="61" applyFont="1" applyFill="1" applyBorder="1" applyAlignment="1">
      <alignment horizontal="center" vertical="center" wrapText="1"/>
    </xf>
    <xf numFmtId="4" fontId="26" fillId="0" borderId="122" xfId="0" applyNumberFormat="1" applyFont="1" applyFill="1" applyBorder="1" applyAlignment="1">
      <alignment horizontal="center" vertical="center" wrapText="1"/>
    </xf>
    <xf numFmtId="43" fontId="26" fillId="0" borderId="123" xfId="61" applyFont="1" applyFill="1" applyBorder="1" applyAlignment="1">
      <alignment horizontal="center" vertical="center" wrapText="1"/>
    </xf>
    <xf numFmtId="43" fontId="26" fillId="0" borderId="124" xfId="61" applyFont="1" applyFill="1" applyBorder="1" applyAlignment="1">
      <alignment horizontal="center" vertical="center" wrapText="1"/>
    </xf>
    <xf numFmtId="43" fontId="26" fillId="0" borderId="125" xfId="61" applyFont="1" applyFill="1" applyBorder="1" applyAlignment="1">
      <alignment horizontal="center" vertical="center" wrapText="1"/>
    </xf>
    <xf numFmtId="0" fontId="26" fillId="0" borderId="104" xfId="0" applyFont="1" applyFill="1" applyBorder="1" applyAlignment="1">
      <alignment horizontal="center" vertical="center"/>
    </xf>
    <xf numFmtId="0" fontId="26" fillId="0" borderId="105" xfId="0" applyFont="1" applyFill="1" applyBorder="1" applyAlignment="1">
      <alignment horizontal="center" vertical="center"/>
    </xf>
    <xf numFmtId="4" fontId="26" fillId="0" borderId="106" xfId="0" applyNumberFormat="1" applyFont="1" applyFill="1" applyBorder="1" applyAlignment="1">
      <alignment horizontal="center" vertical="center"/>
    </xf>
    <xf numFmtId="43" fontId="26" fillId="0" borderId="107" xfId="61" applyFont="1" applyFill="1" applyBorder="1" applyAlignment="1">
      <alignment horizontal="center" vertical="center"/>
    </xf>
    <xf numFmtId="43" fontId="26" fillId="0" borderId="108" xfId="61" applyFont="1" applyFill="1" applyBorder="1" applyAlignment="1">
      <alignment horizontal="center" vertical="center"/>
    </xf>
    <xf numFmtId="43" fontId="26" fillId="0" borderId="0" xfId="61" applyFont="1" applyFill="1" applyBorder="1" applyAlignment="1">
      <alignment horizontal="center" vertical="center"/>
    </xf>
    <xf numFmtId="4" fontId="26" fillId="0" borderId="107" xfId="0" applyNumberFormat="1" applyFont="1" applyFill="1" applyBorder="1" applyAlignment="1">
      <alignment vertical="center"/>
    </xf>
    <xf numFmtId="4" fontId="26" fillId="0" borderId="156" xfId="0" applyNumberFormat="1" applyFont="1" applyFill="1" applyBorder="1" applyAlignment="1">
      <alignment vertical="center"/>
    </xf>
    <xf numFmtId="0" fontId="26" fillId="0" borderId="98" xfId="0" applyFont="1" applyBorder="1" applyAlignment="1">
      <alignment horizontal="center" vertical="center"/>
    </xf>
    <xf numFmtId="4" fontId="26" fillId="0" borderId="99" xfId="0" applyNumberFormat="1" applyFont="1" applyFill="1" applyBorder="1" applyAlignment="1">
      <alignment horizontal="right" vertical="center"/>
    </xf>
    <xf numFmtId="4" fontId="26" fillId="0" borderId="102" xfId="0" applyNumberFormat="1" applyFont="1" applyFill="1" applyBorder="1" applyAlignment="1">
      <alignment horizontal="right" vertical="center"/>
    </xf>
    <xf numFmtId="0" fontId="26" fillId="0" borderId="130" xfId="0" applyFont="1" applyBorder="1" applyAlignment="1">
      <alignment horizontal="center" vertical="center"/>
    </xf>
    <xf numFmtId="4" fontId="26" fillId="0" borderId="109" xfId="0" applyNumberFormat="1" applyFont="1" applyFill="1" applyBorder="1" applyAlignment="1">
      <alignment horizontal="right" vertical="center"/>
    </xf>
    <xf numFmtId="4" fontId="26" fillId="0" borderId="110" xfId="0" applyNumberFormat="1" applyFont="1" applyFill="1" applyBorder="1" applyAlignment="1">
      <alignment horizontal="right" vertical="center"/>
    </xf>
    <xf numFmtId="0" fontId="26" fillId="0" borderId="157" xfId="0" applyFont="1" applyBorder="1" applyAlignment="1">
      <alignment horizontal="center" vertical="center"/>
    </xf>
    <xf numFmtId="0" fontId="26" fillId="0" borderId="158" xfId="0" applyFont="1" applyBorder="1" applyAlignment="1" quotePrefix="1">
      <alignment horizontal="center" vertical="center"/>
    </xf>
    <xf numFmtId="0" fontId="26" fillId="0" borderId="159" xfId="0" applyFont="1" applyFill="1" applyBorder="1" applyAlignment="1">
      <alignment horizontal="center" vertical="center"/>
    </xf>
    <xf numFmtId="0" fontId="26" fillId="0" borderId="160" xfId="0" applyFont="1" applyFill="1" applyBorder="1" applyAlignment="1">
      <alignment horizontal="center" vertical="center"/>
    </xf>
    <xf numFmtId="4" fontId="26" fillId="0" borderId="161" xfId="0" applyNumberFormat="1" applyFont="1" applyFill="1" applyBorder="1" applyAlignment="1">
      <alignment horizontal="center" vertical="center"/>
    </xf>
    <xf numFmtId="43" fontId="26" fillId="0" borderId="162" xfId="61" applyFont="1" applyFill="1" applyBorder="1" applyAlignment="1">
      <alignment horizontal="center" vertical="center"/>
    </xf>
    <xf numFmtId="43" fontId="26" fillId="0" borderId="163" xfId="61" applyFont="1" applyFill="1" applyBorder="1" applyAlignment="1">
      <alignment horizontal="center" vertical="center"/>
    </xf>
    <xf numFmtId="43" fontId="26" fillId="0" borderId="158" xfId="61" applyFont="1" applyFill="1" applyBorder="1" applyAlignment="1">
      <alignment horizontal="center" vertical="center"/>
    </xf>
    <xf numFmtId="4" fontId="26" fillId="0" borderId="162" xfId="0" applyNumberFormat="1" applyFont="1" applyFill="1" applyBorder="1" applyAlignment="1">
      <alignment vertical="center"/>
    </xf>
    <xf numFmtId="4" fontId="26" fillId="0" borderId="164" xfId="0" applyNumberFormat="1" applyFont="1" applyFill="1" applyBorder="1" applyAlignment="1">
      <alignment vertical="center"/>
    </xf>
    <xf numFmtId="0" fontId="28" fillId="0" borderId="0" xfId="0" applyFont="1" applyBorder="1" applyAlignment="1">
      <alignment horizontal="center" vertical="center"/>
    </xf>
    <xf numFmtId="0" fontId="26" fillId="0" borderId="0" xfId="0" applyFont="1" applyAlignment="1">
      <alignment horizontal="center" vertical="center"/>
    </xf>
    <xf numFmtId="4" fontId="26" fillId="0" borderId="0" xfId="0" applyNumberFormat="1" applyFont="1" applyFill="1" applyAlignment="1">
      <alignment horizontal="right" vertical="center"/>
    </xf>
    <xf numFmtId="0" fontId="28" fillId="0" borderId="0" xfId="0" applyFont="1" applyBorder="1" applyAlignment="1">
      <alignment horizontal="center"/>
    </xf>
    <xf numFmtId="0" fontId="26" fillId="0" borderId="0" xfId="0" applyFont="1" applyFill="1" applyBorder="1" applyAlignment="1">
      <alignment horizontal="center"/>
    </xf>
    <xf numFmtId="0" fontId="26" fillId="0" borderId="0" xfId="0" applyFont="1" applyBorder="1" applyAlignment="1">
      <alignment horizontal="center"/>
    </xf>
    <xf numFmtId="4" fontId="26" fillId="0" borderId="0" xfId="0" applyNumberFormat="1" applyFont="1" applyBorder="1" applyAlignment="1">
      <alignment horizontal="center"/>
    </xf>
    <xf numFmtId="4" fontId="26" fillId="0" borderId="0" xfId="0" applyNumberFormat="1" applyFont="1" applyBorder="1" applyAlignment="1">
      <alignment/>
    </xf>
    <xf numFmtId="3" fontId="31" fillId="0" borderId="165" xfId="0" applyNumberFormat="1" applyFont="1" applyBorder="1" applyAlignment="1">
      <alignment horizontal="center" vertical="center"/>
    </xf>
    <xf numFmtId="3" fontId="31" fillId="0" borderId="23" xfId="0" applyNumberFormat="1" applyFont="1" applyBorder="1" applyAlignment="1">
      <alignment horizontal="center" vertical="center"/>
    </xf>
    <xf numFmtId="0" fontId="28" fillId="0" borderId="166" xfId="0" applyFont="1" applyBorder="1" applyAlignment="1">
      <alignment horizontal="center" vertical="center"/>
    </xf>
    <xf numFmtId="3" fontId="28" fillId="0" borderId="167" xfId="0" applyNumberFormat="1" applyFont="1" applyBorder="1" applyAlignment="1">
      <alignment horizontal="center" vertical="center"/>
    </xf>
    <xf numFmtId="3" fontId="28" fillId="0" borderId="25" xfId="0" applyNumberFormat="1" applyFont="1" applyBorder="1" applyAlignment="1">
      <alignment horizontal="right" vertical="center"/>
    </xf>
    <xf numFmtId="0" fontId="28" fillId="0" borderId="168" xfId="0" applyFont="1" applyBorder="1" applyAlignment="1">
      <alignment horizontal="center" vertical="center"/>
    </xf>
    <xf numFmtId="3" fontId="28" fillId="0" borderId="71" xfId="0" applyNumberFormat="1" applyFont="1" applyBorder="1" applyAlignment="1">
      <alignment horizontal="center" vertical="center"/>
    </xf>
    <xf numFmtId="3" fontId="28" fillId="0" borderId="27" xfId="0" applyNumberFormat="1" applyFont="1" applyBorder="1" applyAlignment="1">
      <alignment horizontal="right" vertical="center"/>
    </xf>
    <xf numFmtId="0" fontId="28" fillId="0" borderId="169" xfId="0" applyFont="1" applyBorder="1" applyAlignment="1">
      <alignment horizontal="center" vertical="center"/>
    </xf>
    <xf numFmtId="3" fontId="28" fillId="0" borderId="170" xfId="0" applyNumberFormat="1" applyFont="1" applyBorder="1" applyAlignment="1">
      <alignment horizontal="center" vertical="center"/>
    </xf>
    <xf numFmtId="3" fontId="28" fillId="0" borderId="29" xfId="0" applyNumberFormat="1" applyFont="1" applyBorder="1" applyAlignment="1">
      <alignment horizontal="right" vertical="center"/>
    </xf>
    <xf numFmtId="0" fontId="28" fillId="0" borderId="97" xfId="0" applyFont="1" applyBorder="1" applyAlignment="1">
      <alignment horizontal="center" vertical="center"/>
    </xf>
    <xf numFmtId="3" fontId="28" fillId="0" borderId="171" xfId="0" applyNumberFormat="1" applyFont="1" applyBorder="1" applyAlignment="1">
      <alignment horizontal="center" vertical="center"/>
    </xf>
    <xf numFmtId="3" fontId="28" fillId="0" borderId="31" xfId="0" applyNumberFormat="1" applyFont="1" applyBorder="1" applyAlignment="1">
      <alignment horizontal="right" vertical="center"/>
    </xf>
    <xf numFmtId="0" fontId="26" fillId="0" borderId="0" xfId="0" applyFont="1" applyBorder="1" applyAlignment="1">
      <alignment/>
    </xf>
    <xf numFmtId="0" fontId="68" fillId="0" borderId="0" xfId="0" applyFont="1" applyAlignment="1">
      <alignment horizontal="center"/>
    </xf>
    <xf numFmtId="0" fontId="68" fillId="0" borderId="0" xfId="0" applyFont="1" applyAlignment="1">
      <alignment/>
    </xf>
    <xf numFmtId="0" fontId="26" fillId="0" borderId="139" xfId="0" applyFont="1" applyBorder="1" applyAlignment="1">
      <alignment vertical="center" wrapText="1"/>
    </xf>
    <xf numFmtId="0" fontId="26" fillId="0" borderId="0" xfId="0" applyFont="1" applyAlignment="1">
      <alignment wrapText="1"/>
    </xf>
    <xf numFmtId="0" fontId="26" fillId="0" borderId="0" xfId="0" applyFont="1" applyBorder="1" applyAlignment="1">
      <alignment horizontal="justify" wrapText="1"/>
    </xf>
    <xf numFmtId="0" fontId="26" fillId="0" borderId="0" xfId="0" applyFont="1" applyAlignment="1">
      <alignment vertical="top" wrapText="1"/>
    </xf>
    <xf numFmtId="0" fontId="27" fillId="0" borderId="101" xfId="0" applyFont="1" applyBorder="1" applyAlignment="1">
      <alignment horizontal="left" vertical="center" wrapText="1"/>
    </xf>
    <xf numFmtId="0" fontId="27" fillId="0" borderId="0" xfId="0" applyFont="1" applyBorder="1" applyAlignment="1">
      <alignment horizontal="left" vertical="center" wrapText="1"/>
    </xf>
    <xf numFmtId="0" fontId="26" fillId="0" borderId="172" xfId="0" applyFont="1" applyFill="1" applyBorder="1" applyAlignment="1">
      <alignment vertical="center" wrapText="1"/>
    </xf>
    <xf numFmtId="0" fontId="27" fillId="0" borderId="127" xfId="0" applyFont="1" applyBorder="1" applyAlignment="1">
      <alignment horizontal="left" vertical="center" wrapText="1"/>
    </xf>
    <xf numFmtId="0" fontId="27" fillId="0" borderId="73" xfId="0" applyFont="1" applyBorder="1" applyAlignment="1">
      <alignment horizontal="left" vertical="center" wrapText="1"/>
    </xf>
    <xf numFmtId="0" fontId="27" fillId="0" borderId="171" xfId="0" applyFont="1" applyBorder="1" applyAlignment="1">
      <alignment horizontal="left" vertical="center" wrapText="1"/>
    </xf>
    <xf numFmtId="0" fontId="27" fillId="0" borderId="173" xfId="0" applyFont="1" applyBorder="1" applyAlignment="1">
      <alignment horizontal="left" vertical="center" wrapText="1"/>
    </xf>
    <xf numFmtId="0" fontId="27" fillId="0" borderId="171" xfId="0" applyFont="1" applyFill="1" applyBorder="1" applyAlignment="1">
      <alignment vertical="center" wrapText="1"/>
    </xf>
    <xf numFmtId="0" fontId="27" fillId="0" borderId="173" xfId="0" applyFont="1" applyFill="1" applyBorder="1" applyAlignment="1">
      <alignment vertical="center" wrapText="1"/>
    </xf>
    <xf numFmtId="0" fontId="27" fillId="0" borderId="171" xfId="0" applyFont="1" applyBorder="1" applyAlignment="1">
      <alignment vertical="center" wrapText="1"/>
    </xf>
    <xf numFmtId="0" fontId="27" fillId="0" borderId="173" xfId="0" applyFont="1" applyBorder="1" applyAlignment="1">
      <alignment vertical="center" wrapText="1"/>
    </xf>
    <xf numFmtId="0" fontId="26" fillId="0" borderId="174" xfId="0" applyFont="1" applyFill="1" applyBorder="1" applyAlignment="1">
      <alignment vertical="center" wrapText="1"/>
    </xf>
    <xf numFmtId="0" fontId="26" fillId="0" borderId="175" xfId="0" applyFont="1" applyFill="1" applyBorder="1" applyAlignment="1">
      <alignment vertical="center" wrapText="1"/>
    </xf>
    <xf numFmtId="0" fontId="26" fillId="0" borderId="0" xfId="0" applyFont="1" applyAlignment="1">
      <alignment vertical="center" wrapText="1"/>
    </xf>
    <xf numFmtId="3" fontId="31" fillId="0" borderId="23" xfId="0" applyNumberFormat="1" applyFont="1" applyBorder="1" applyAlignment="1">
      <alignment horizontal="center" vertical="center" wrapText="1"/>
    </xf>
    <xf numFmtId="3" fontId="28" fillId="0" borderId="25" xfId="0" applyNumberFormat="1" applyFont="1" applyBorder="1" applyAlignment="1">
      <alignment horizontal="right" vertical="center" wrapText="1"/>
    </xf>
    <xf numFmtId="3" fontId="28" fillId="0" borderId="27" xfId="0" applyNumberFormat="1" applyFont="1" applyBorder="1" applyAlignment="1">
      <alignment horizontal="right" vertical="center" wrapText="1"/>
    </xf>
    <xf numFmtId="3" fontId="28" fillId="0" borderId="29" xfId="0" applyNumberFormat="1" applyFont="1" applyBorder="1" applyAlignment="1">
      <alignment horizontal="right" vertical="center" wrapText="1"/>
    </xf>
    <xf numFmtId="3" fontId="28" fillId="0" borderId="31" xfId="0" applyNumberFormat="1" applyFont="1" applyBorder="1" applyAlignment="1">
      <alignment horizontal="right" vertical="center" wrapText="1"/>
    </xf>
    <xf numFmtId="0" fontId="26" fillId="0" borderId="0" xfId="0" applyFont="1" applyBorder="1" applyAlignment="1">
      <alignment wrapText="1"/>
    </xf>
    <xf numFmtId="0" fontId="68" fillId="0" borderId="0" xfId="0" applyFont="1" applyAlignment="1">
      <alignment wrapText="1"/>
    </xf>
    <xf numFmtId="0" fontId="28" fillId="0" borderId="176" xfId="0" applyFont="1" applyBorder="1" applyAlignment="1">
      <alignment horizontal="center" vertical="center" wrapText="1"/>
    </xf>
    <xf numFmtId="0" fontId="28" fillId="0" borderId="177" xfId="0" applyFont="1" applyBorder="1" applyAlignment="1">
      <alignment horizontal="center" vertical="center" wrapText="1"/>
    </xf>
    <xf numFmtId="0" fontId="3" fillId="0" borderId="38" xfId="51" applyFont="1" applyBorder="1" applyAlignment="1">
      <alignment horizontal="left" vertical="center" wrapText="1"/>
      <protection/>
    </xf>
    <xf numFmtId="0" fontId="2"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3" fontId="2" fillId="37" borderId="16" xfId="0" applyNumberFormat="1" applyFont="1" applyFill="1" applyBorder="1" applyAlignment="1">
      <alignment horizontal="center" wrapText="1"/>
    </xf>
    <xf numFmtId="3" fontId="3" fillId="37" borderId="27" xfId="0" applyNumberFormat="1" applyFont="1" applyFill="1" applyBorder="1" applyAlignment="1">
      <alignment horizontal="center" vertical="center" wrapText="1"/>
    </xf>
    <xf numFmtId="3" fontId="3" fillId="37" borderId="16" xfId="0" applyNumberFormat="1" applyFont="1" applyFill="1" applyBorder="1" applyAlignment="1">
      <alignment horizontal="center" wrapText="1"/>
    </xf>
    <xf numFmtId="4" fontId="3" fillId="37" borderId="17" xfId="0" applyNumberFormat="1" applyFont="1" applyFill="1" applyBorder="1" applyAlignment="1">
      <alignment horizontal="center" vertical="center" wrapText="1"/>
    </xf>
    <xf numFmtId="3" fontId="12" fillId="37" borderId="27" xfId="0" applyNumberFormat="1" applyFont="1" applyFill="1" applyBorder="1" applyAlignment="1">
      <alignment horizontal="center" vertical="center" wrapText="1"/>
    </xf>
    <xf numFmtId="3" fontId="2" fillId="37" borderId="10" xfId="0" applyNumberFormat="1" applyFont="1" applyFill="1" applyBorder="1" applyAlignment="1">
      <alignment horizontal="center" vertical="center"/>
    </xf>
    <xf numFmtId="3" fontId="3" fillId="37" borderId="10" xfId="0" applyNumberFormat="1" applyFont="1" applyFill="1" applyBorder="1" applyAlignment="1">
      <alignment horizontal="center" vertical="center"/>
    </xf>
    <xf numFmtId="4" fontId="3" fillId="37" borderId="22" xfId="0" applyNumberFormat="1" applyFont="1" applyFill="1" applyBorder="1" applyAlignment="1">
      <alignment horizontal="center" vertical="center" wrapText="1"/>
    </xf>
    <xf numFmtId="0" fontId="9" fillId="34" borderId="61" xfId="51" applyFont="1" applyFill="1" applyBorder="1" applyAlignment="1">
      <alignment horizontal="left" wrapText="1"/>
      <protection/>
    </xf>
    <xf numFmtId="3" fontId="9" fillId="0" borderId="34" xfId="0" applyNumberFormat="1" applyFont="1" applyFill="1" applyBorder="1" applyAlignment="1">
      <alignment horizontal="center" vertical="center" wrapText="1"/>
    </xf>
    <xf numFmtId="3" fontId="3" fillId="0" borderId="74" xfId="51" applyNumberFormat="1" applyFont="1" applyFill="1" applyBorder="1" applyAlignment="1">
      <alignment horizontal="center" vertical="center"/>
      <protection/>
    </xf>
    <xf numFmtId="3" fontId="3" fillId="0" borderId="34" xfId="0" applyNumberFormat="1" applyFont="1" applyBorder="1" applyAlignment="1">
      <alignment horizontal="center" vertical="center" wrapText="1"/>
    </xf>
    <xf numFmtId="4" fontId="9" fillId="0" borderId="35" xfId="0" applyNumberFormat="1" applyFont="1" applyBorder="1" applyAlignment="1">
      <alignment horizontal="center" vertical="center" wrapText="1"/>
    </xf>
    <xf numFmtId="3" fontId="9" fillId="0" borderId="13" xfId="0" applyNumberFormat="1" applyFont="1" applyFill="1" applyBorder="1" applyAlignment="1">
      <alignment horizontal="center" vertical="center" wrapText="1"/>
    </xf>
    <xf numFmtId="3" fontId="3" fillId="0" borderId="29" xfId="51" applyNumberFormat="1" applyFont="1" applyFill="1" applyBorder="1" applyAlignment="1">
      <alignment horizontal="center" vertical="center"/>
      <protection/>
    </xf>
    <xf numFmtId="0" fontId="0" fillId="0" borderId="27" xfId="0" applyBorder="1" applyAlignment="1">
      <alignment/>
    </xf>
    <xf numFmtId="4" fontId="9" fillId="0" borderId="27" xfId="0" applyNumberFormat="1" applyFont="1" applyBorder="1" applyAlignment="1">
      <alignment horizontal="center" vertical="center" wrapText="1"/>
    </xf>
    <xf numFmtId="3" fontId="2" fillId="0" borderId="27" xfId="0" applyNumberFormat="1" applyFont="1" applyBorder="1" applyAlignment="1">
      <alignment horizontal="center" vertical="center" wrapText="1"/>
    </xf>
    <xf numFmtId="3" fontId="2" fillId="0" borderId="27" xfId="0" applyNumberFormat="1" applyFont="1" applyFill="1" applyBorder="1" applyAlignment="1">
      <alignment horizontal="center" vertical="center" wrapText="1"/>
    </xf>
    <xf numFmtId="184" fontId="2" fillId="0" borderId="16" xfId="61" applyNumberFormat="1" applyFont="1" applyBorder="1" applyAlignment="1">
      <alignment horizontal="center" vertical="center"/>
    </xf>
    <xf numFmtId="0" fontId="0" fillId="0" borderId="0" xfId="0" applyAlignment="1">
      <alignment/>
    </xf>
    <xf numFmtId="3" fontId="3" fillId="37" borderId="16" xfId="0" applyNumberFormat="1" applyFont="1" applyFill="1" applyBorder="1" applyAlignment="1">
      <alignment horizontal="center" wrapText="1"/>
    </xf>
    <xf numFmtId="0" fontId="63" fillId="0" borderId="0" xfId="0" applyFont="1" applyAlignment="1">
      <alignment/>
    </xf>
    <xf numFmtId="0" fontId="13" fillId="0" borderId="69" xfId="0" applyFont="1" applyBorder="1" applyAlignment="1">
      <alignment horizontal="center" vertical="center"/>
    </xf>
    <xf numFmtId="3" fontId="13" fillId="0" borderId="0" xfId="0" applyNumberFormat="1" applyFont="1" applyBorder="1" applyAlignment="1">
      <alignment horizontal="center" vertical="center"/>
    </xf>
    <xf numFmtId="3" fontId="13" fillId="0" borderId="78" xfId="0" applyNumberFormat="1" applyFont="1" applyBorder="1" applyAlignment="1">
      <alignment horizontal="center"/>
    </xf>
    <xf numFmtId="3" fontId="13" fillId="0" borderId="178" xfId="0" applyNumberFormat="1" applyFont="1" applyBorder="1" applyAlignment="1">
      <alignment horizontal="center"/>
    </xf>
    <xf numFmtId="3" fontId="13" fillId="0" borderId="179" xfId="0" applyNumberFormat="1" applyFont="1" applyBorder="1" applyAlignment="1">
      <alignment horizontal="center"/>
    </xf>
    <xf numFmtId="3" fontId="13" fillId="0" borderId="180" xfId="0" applyNumberFormat="1" applyFont="1" applyBorder="1" applyAlignment="1">
      <alignment horizontal="center"/>
    </xf>
    <xf numFmtId="0" fontId="6" fillId="0" borderId="0" xfId="0" applyFont="1" applyBorder="1" applyAlignment="1">
      <alignment horizontal="center"/>
    </xf>
    <xf numFmtId="0" fontId="3" fillId="0" borderId="4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0" xfId="0" applyFont="1" applyFill="1" applyBorder="1" applyAlignment="1">
      <alignment horizontal="center" vertical="center" wrapText="1"/>
    </xf>
    <xf numFmtId="3" fontId="3" fillId="0" borderId="20" xfId="0" applyNumberFormat="1" applyFont="1" applyFill="1" applyBorder="1" applyAlignment="1">
      <alignment horizontal="center" vertical="center" wrapText="1"/>
    </xf>
    <xf numFmtId="0" fontId="3" fillId="0" borderId="181"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6" fillId="0" borderId="0" xfId="0" applyFont="1" applyBorder="1" applyAlignment="1">
      <alignment horizontal="center" vertical="center" wrapText="1"/>
    </xf>
    <xf numFmtId="181" fontId="8" fillId="0" borderId="40" xfId="0" applyNumberFormat="1" applyFont="1" applyBorder="1" applyAlignment="1">
      <alignment horizontal="center" vertical="center" wrapText="1"/>
    </xf>
    <xf numFmtId="0" fontId="8" fillId="0" borderId="20" xfId="0" applyFont="1" applyBorder="1" applyAlignment="1">
      <alignment horizontal="center" vertical="center" wrapText="1"/>
    </xf>
    <xf numFmtId="3" fontId="3" fillId="0" borderId="182" xfId="0" applyNumberFormat="1" applyFont="1" applyFill="1" applyBorder="1" applyAlignment="1">
      <alignment horizontal="center" vertical="center" wrapText="1"/>
    </xf>
    <xf numFmtId="3" fontId="3" fillId="0" borderId="183" xfId="0" applyNumberFormat="1" applyFont="1" applyFill="1" applyBorder="1" applyAlignment="1">
      <alignment horizontal="center" vertical="center" wrapText="1"/>
    </xf>
    <xf numFmtId="0" fontId="3" fillId="0" borderId="41" xfId="0" applyFont="1" applyBorder="1" applyAlignment="1">
      <alignment horizontal="center" vertical="center" wrapText="1"/>
    </xf>
    <xf numFmtId="0" fontId="6" fillId="0" borderId="0" xfId="0" applyFont="1" applyBorder="1" applyAlignment="1">
      <alignment horizontal="center"/>
    </xf>
    <xf numFmtId="0" fontId="3" fillId="0" borderId="0" xfId="0" applyFont="1" applyBorder="1" applyAlignment="1">
      <alignment horizontal="center"/>
    </xf>
    <xf numFmtId="0" fontId="3" fillId="0" borderId="4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0" xfId="0" applyFont="1" applyFill="1" applyBorder="1" applyAlignment="1">
      <alignment horizontal="center" vertical="center" wrapText="1"/>
    </xf>
    <xf numFmtId="0" fontId="3" fillId="0" borderId="181" xfId="0" applyFont="1" applyFill="1" applyBorder="1" applyAlignment="1">
      <alignment horizontal="center" vertical="center" wrapText="1"/>
    </xf>
    <xf numFmtId="4" fontId="3" fillId="0" borderId="41" xfId="0" applyNumberFormat="1" applyFont="1" applyFill="1" applyBorder="1" applyAlignment="1">
      <alignment horizontal="center" vertical="center" wrapText="1"/>
    </xf>
    <xf numFmtId="0" fontId="13" fillId="0" borderId="0" xfId="0" applyFont="1" applyFill="1" applyBorder="1" applyAlignment="1">
      <alignment horizontal="left" vertical="center" wrapText="1"/>
    </xf>
    <xf numFmtId="0" fontId="2" fillId="0" borderId="0" xfId="0" applyFont="1" applyBorder="1" applyAlignment="1">
      <alignment horizontal="center"/>
    </xf>
    <xf numFmtId="0" fontId="9" fillId="0" borderId="0" xfId="0" applyFont="1" applyBorder="1" applyAlignment="1">
      <alignment horizontal="left" vertical="center" wrapText="1"/>
    </xf>
    <xf numFmtId="0" fontId="14" fillId="0" borderId="0" xfId="0" applyFont="1" applyBorder="1" applyAlignment="1">
      <alignment horizontal="center"/>
    </xf>
    <xf numFmtId="0" fontId="8" fillId="0" borderId="40" xfId="51" applyFont="1" applyBorder="1" applyAlignment="1">
      <alignment horizontal="center" vertical="center" wrapText="1"/>
      <protection/>
    </xf>
    <xf numFmtId="0" fontId="8" fillId="0" borderId="20" xfId="51" applyFont="1" applyBorder="1" applyAlignment="1">
      <alignment horizontal="center" vertical="center" wrapText="1"/>
      <protection/>
    </xf>
    <xf numFmtId="0" fontId="3" fillId="0" borderId="39" xfId="0" applyFont="1" applyFill="1" applyBorder="1" applyAlignment="1">
      <alignment horizontal="center" vertical="center" wrapText="1"/>
    </xf>
    <xf numFmtId="4" fontId="3" fillId="0" borderId="52" xfId="0" applyNumberFormat="1" applyFont="1" applyFill="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center"/>
    </xf>
    <xf numFmtId="0" fontId="27" fillId="0" borderId="0" xfId="0" applyFont="1" applyAlignment="1">
      <alignment horizontal="center"/>
    </xf>
    <xf numFmtId="0" fontId="2" fillId="0" borderId="0" xfId="0" applyFont="1" applyAlignment="1">
      <alignment horizontal="center" vertical="top"/>
    </xf>
    <xf numFmtId="0" fontId="2" fillId="0" borderId="0" xfId="0" applyFont="1" applyAlignment="1">
      <alignment horizontal="center"/>
    </xf>
    <xf numFmtId="0" fontId="27" fillId="0" borderId="0" xfId="0" applyFont="1" applyAlignment="1">
      <alignment horizontal="center" vertical="center" wrapText="1"/>
    </xf>
    <xf numFmtId="0" fontId="27" fillId="0" borderId="0" xfId="0" applyFont="1" applyBorder="1" applyAlignment="1">
      <alignment horizontal="center" vertical="center" wrapText="1"/>
    </xf>
    <xf numFmtId="0" fontId="29" fillId="0" borderId="184" xfId="0" applyFont="1" applyBorder="1" applyAlignment="1">
      <alignment horizontal="center" vertical="center" wrapText="1"/>
    </xf>
    <xf numFmtId="0" fontId="29" fillId="0" borderId="81" xfId="0" applyFont="1" applyBorder="1" applyAlignment="1">
      <alignment horizontal="center" vertical="center" wrapText="1"/>
    </xf>
    <xf numFmtId="0" fontId="27" fillId="0" borderId="185" xfId="0" applyFont="1" applyBorder="1" applyAlignment="1">
      <alignment horizontal="center" vertical="center"/>
    </xf>
    <xf numFmtId="0" fontId="27" fillId="0" borderId="101" xfId="0" applyFont="1" applyBorder="1" applyAlignment="1">
      <alignment horizontal="center" vertical="center"/>
    </xf>
    <xf numFmtId="0" fontId="27" fillId="0" borderId="185" xfId="0" applyFont="1" applyFill="1" applyBorder="1" applyAlignment="1">
      <alignment horizontal="center" vertical="center"/>
    </xf>
    <xf numFmtId="0" fontId="27" fillId="0" borderId="101" xfId="0" applyFont="1" applyFill="1" applyBorder="1" applyAlignment="1">
      <alignment horizontal="center" vertical="center"/>
    </xf>
    <xf numFmtId="0" fontId="31" fillId="0" borderId="91" xfId="0" applyFont="1" applyBorder="1" applyAlignment="1">
      <alignment horizontal="center" vertical="center"/>
    </xf>
    <xf numFmtId="0" fontId="31" fillId="0" borderId="168" xfId="0" applyFont="1" applyBorder="1" applyAlignment="1">
      <alignment horizontal="center" vertical="center"/>
    </xf>
    <xf numFmtId="0" fontId="31" fillId="0" borderId="186" xfId="0" applyFont="1" applyBorder="1" applyAlignment="1">
      <alignment horizontal="center" vertical="center"/>
    </xf>
    <xf numFmtId="0" fontId="31" fillId="0" borderId="187" xfId="0" applyFont="1" applyBorder="1" applyAlignment="1">
      <alignment horizontal="center" vertical="center"/>
    </xf>
    <xf numFmtId="0" fontId="31" fillId="0" borderId="188" xfId="0" applyFont="1" applyBorder="1" applyAlignment="1">
      <alignment horizontal="center" vertical="center"/>
    </xf>
    <xf numFmtId="0" fontId="31" fillId="0" borderId="106" xfId="0" applyFont="1" applyBorder="1" applyAlignment="1">
      <alignment horizontal="center" vertical="center"/>
    </xf>
    <xf numFmtId="0" fontId="31" fillId="0" borderId="189" xfId="0" applyFont="1" applyBorder="1" applyAlignment="1">
      <alignment horizontal="center" vertical="center"/>
    </xf>
    <xf numFmtId="0" fontId="31" fillId="0" borderId="190" xfId="0" applyFont="1" applyBorder="1" applyAlignment="1">
      <alignment horizontal="center" vertical="center"/>
    </xf>
    <xf numFmtId="0" fontId="31" fillId="0" borderId="191" xfId="0" applyFont="1" applyBorder="1" applyAlignment="1">
      <alignment horizontal="center" vertical="center"/>
    </xf>
    <xf numFmtId="3" fontId="31" fillId="0" borderId="153" xfId="0" applyNumberFormat="1" applyFont="1" applyBorder="1" applyAlignment="1">
      <alignment horizontal="center" vertical="center"/>
    </xf>
    <xf numFmtId="3" fontId="31" fillId="0" borderId="73" xfId="0" applyNumberFormat="1" applyFont="1" applyBorder="1" applyAlignment="1">
      <alignment horizontal="center" vertical="center"/>
    </xf>
    <xf numFmtId="3" fontId="31" fillId="0" borderId="71" xfId="0" applyNumberFormat="1" applyFont="1" applyBorder="1" applyAlignment="1">
      <alignment horizontal="center" vertical="center"/>
    </xf>
    <xf numFmtId="3" fontId="31" fillId="0" borderId="27" xfId="0" applyNumberFormat="1" applyFont="1" applyBorder="1" applyAlignment="1">
      <alignment horizontal="center" vertical="center"/>
    </xf>
    <xf numFmtId="3" fontId="4" fillId="0" borderId="73" xfId="0" applyNumberFormat="1" applyFont="1" applyBorder="1" applyAlignment="1">
      <alignment horizontal="center" vertical="center"/>
    </xf>
    <xf numFmtId="3" fontId="4" fillId="0" borderId="92" xfId="0" applyNumberFormat="1" applyFont="1" applyBorder="1" applyAlignment="1">
      <alignment horizontal="center" vertical="center"/>
    </xf>
    <xf numFmtId="3" fontId="4" fillId="0" borderId="27" xfId="0" applyNumberFormat="1" applyFont="1" applyBorder="1" applyAlignment="1">
      <alignment horizontal="center" vertical="center"/>
    </xf>
    <xf numFmtId="3" fontId="4" fillId="0" borderId="28" xfId="0" applyNumberFormat="1" applyFont="1" applyBorder="1" applyAlignment="1">
      <alignment horizontal="center" vertical="center"/>
    </xf>
    <xf numFmtId="0" fontId="28" fillId="0" borderId="25"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77" xfId="0" applyFont="1" applyBorder="1" applyAlignment="1">
      <alignment horizontal="center" vertical="center" wrapText="1"/>
    </xf>
    <xf numFmtId="0" fontId="28" fillId="0" borderId="192" xfId="0" applyFont="1" applyBorder="1" applyAlignment="1">
      <alignment horizontal="center" vertical="center" wrapText="1"/>
    </xf>
    <xf numFmtId="0" fontId="28" fillId="0" borderId="193" xfId="0" applyFont="1" applyBorder="1" applyAlignment="1">
      <alignment horizontal="center" vertical="center" wrapText="1"/>
    </xf>
    <xf numFmtId="0" fontId="28" fillId="0" borderId="194" xfId="0" applyFont="1" applyBorder="1" applyAlignment="1">
      <alignment horizontal="center" vertical="center" wrapText="1"/>
    </xf>
    <xf numFmtId="0" fontId="28" fillId="0" borderId="98" xfId="0" applyFont="1" applyBorder="1" applyAlignment="1">
      <alignment horizontal="center" vertical="center" wrapText="1"/>
    </xf>
    <xf numFmtId="0" fontId="28" fillId="0" borderId="195" xfId="0" applyFont="1" applyBorder="1" applyAlignment="1">
      <alignment horizontal="center" vertical="center" wrapText="1"/>
    </xf>
    <xf numFmtId="0" fontId="26" fillId="0" borderId="0" xfId="0" applyFont="1" applyBorder="1" applyAlignment="1">
      <alignment horizontal="center"/>
    </xf>
    <xf numFmtId="0" fontId="14" fillId="0" borderId="0" xfId="0" applyFont="1" applyBorder="1" applyAlignment="1">
      <alignment horizontal="center" wrapText="1"/>
    </xf>
    <xf numFmtId="2" fontId="3" fillId="0" borderId="196" xfId="0" applyNumberFormat="1" applyFont="1" applyBorder="1" applyAlignment="1">
      <alignment horizontal="center" vertical="center" wrapText="1"/>
    </xf>
    <xf numFmtId="0" fontId="3" fillId="0" borderId="47" xfId="0" applyFont="1" applyFill="1" applyBorder="1" applyAlignment="1">
      <alignment horizontal="center" vertical="center" wrapText="1"/>
    </xf>
    <xf numFmtId="0" fontId="2" fillId="0" borderId="15" xfId="0" applyFont="1" applyBorder="1" applyAlignment="1">
      <alignment horizontal="left" vertical="center"/>
    </xf>
    <xf numFmtId="0" fontId="2" fillId="0" borderId="0" xfId="0" applyFont="1" applyBorder="1" applyAlignment="1">
      <alignment horizontal="left"/>
    </xf>
    <xf numFmtId="0" fontId="14" fillId="0" borderId="0" xfId="0" applyFont="1" applyBorder="1" applyAlignment="1">
      <alignment horizontal="center"/>
    </xf>
    <xf numFmtId="0" fontId="19" fillId="0" borderId="182" xfId="0" applyFont="1" applyBorder="1" applyAlignment="1">
      <alignment horizontal="center" vertical="center" wrapText="1"/>
    </xf>
    <xf numFmtId="0" fontId="19" fillId="0" borderId="20"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left" wrapText="1"/>
    </xf>
    <xf numFmtId="0" fontId="2" fillId="0" borderId="0" xfId="0" applyFont="1" applyAlignment="1">
      <alignment horizontal="center"/>
    </xf>
    <xf numFmtId="0" fontId="3" fillId="0" borderId="197" xfId="0" applyFont="1" applyBorder="1" applyAlignment="1">
      <alignment horizontal="center" wrapText="1" shrinkToFit="1"/>
    </xf>
    <xf numFmtId="0" fontId="3" fillId="0" borderId="20" xfId="0" applyFont="1" applyBorder="1" applyAlignment="1">
      <alignment horizontal="center" vertical="center" wrapText="1" shrinkToFit="1"/>
    </xf>
    <xf numFmtId="0" fontId="3" fillId="0" borderId="20" xfId="0" applyFont="1" applyBorder="1" applyAlignment="1">
      <alignment horizontal="center" vertical="center"/>
    </xf>
    <xf numFmtId="0" fontId="2" fillId="0" borderId="0" xfId="0" applyFont="1" applyBorder="1" applyAlignment="1">
      <alignment horizontal="left" vertical="center"/>
    </xf>
    <xf numFmtId="0" fontId="3" fillId="0" borderId="39" xfId="0" applyFont="1" applyFill="1" applyBorder="1" applyAlignment="1">
      <alignment horizontal="center" vertical="center" wrapText="1"/>
    </xf>
    <xf numFmtId="0" fontId="3" fillId="0" borderId="0" xfId="0" applyFont="1" applyFill="1" applyBorder="1" applyAlignment="1">
      <alignment horizontal="center"/>
    </xf>
    <xf numFmtId="0" fontId="21" fillId="0" borderId="0" xfId="0" applyFont="1" applyBorder="1" applyAlignment="1">
      <alignment horizontal="center"/>
    </xf>
    <xf numFmtId="0" fontId="11" fillId="0" borderId="56" xfId="0" applyFont="1" applyBorder="1" applyAlignment="1">
      <alignment horizontal="center" vertical="center" wrapText="1"/>
    </xf>
    <xf numFmtId="0" fontId="11" fillId="0" borderId="45" xfId="0" applyFont="1" applyBorder="1" applyAlignment="1">
      <alignment horizontal="center" vertical="center"/>
    </xf>
    <xf numFmtId="0" fontId="11" fillId="0" borderId="198" xfId="0" applyFont="1" applyBorder="1" applyAlignment="1">
      <alignment horizontal="center" vertical="center"/>
    </xf>
    <xf numFmtId="0" fontId="13" fillId="36" borderId="22" xfId="0" applyFont="1" applyFill="1" applyBorder="1" applyAlignment="1">
      <alignment horizontal="center" vertical="center"/>
    </xf>
    <xf numFmtId="0" fontId="12" fillId="0" borderId="0" xfId="0" applyFont="1" applyBorder="1" applyAlignment="1">
      <alignment horizontal="center"/>
    </xf>
    <xf numFmtId="0" fontId="13" fillId="36" borderId="45" xfId="0" applyFont="1" applyFill="1" applyBorder="1" applyAlignment="1">
      <alignment horizontal="center"/>
    </xf>
    <xf numFmtId="0" fontId="13" fillId="33" borderId="45" xfId="0" applyFont="1" applyFill="1" applyBorder="1" applyAlignment="1" applyProtection="1">
      <alignment horizontal="center" vertical="center" wrapText="1"/>
      <protection/>
    </xf>
    <xf numFmtId="49" fontId="2" fillId="33" borderId="52" xfId="0" applyNumberFormat="1" applyFont="1" applyFill="1" applyBorder="1" applyAlignment="1" applyProtection="1">
      <alignment horizontal="center" vertical="center" wrapText="1"/>
      <protection/>
    </xf>
    <xf numFmtId="0" fontId="13" fillId="33" borderId="54" xfId="0" applyFont="1" applyFill="1" applyBorder="1" applyAlignment="1">
      <alignment horizontal="center"/>
    </xf>
    <xf numFmtId="0" fontId="13" fillId="33" borderId="47" xfId="0" applyFont="1" applyFill="1" applyBorder="1" applyAlignment="1">
      <alignment horizontal="center"/>
    </xf>
    <xf numFmtId="0" fontId="13" fillId="33" borderId="199" xfId="0" applyFont="1" applyFill="1" applyBorder="1" applyAlignment="1">
      <alignment horizontal="center"/>
    </xf>
    <xf numFmtId="0" fontId="13" fillId="33" borderId="196" xfId="0" applyFont="1" applyFill="1" applyBorder="1" applyAlignment="1">
      <alignment horizontal="center"/>
    </xf>
    <xf numFmtId="0" fontId="13" fillId="33" borderId="200" xfId="0" applyFont="1" applyFill="1" applyBorder="1" applyAlignment="1">
      <alignment horizontal="center"/>
    </xf>
    <xf numFmtId="0" fontId="19" fillId="0" borderId="0" xfId="51" applyFont="1" applyBorder="1" applyAlignment="1">
      <alignment horizontal="center" vertical="center" wrapText="1"/>
      <protection/>
    </xf>
    <xf numFmtId="0" fontId="19" fillId="0" borderId="0" xfId="51" applyFont="1" applyBorder="1" applyAlignment="1">
      <alignment horizontal="center"/>
      <protection/>
    </xf>
    <xf numFmtId="0" fontId="22" fillId="0" borderId="40" xfId="51" applyFont="1" applyBorder="1" applyAlignment="1">
      <alignment horizontal="center" vertical="center" wrapText="1"/>
      <protection/>
    </xf>
    <xf numFmtId="0" fontId="22" fillId="0" borderId="20" xfId="51" applyFont="1" applyBorder="1" applyAlignment="1">
      <alignment horizontal="center" vertical="center" wrapText="1"/>
      <protection/>
    </xf>
    <xf numFmtId="0" fontId="22" fillId="0" borderId="41" xfId="51" applyFont="1" applyBorder="1" applyAlignment="1">
      <alignment horizontal="center" vertical="center" wrapText="1"/>
      <protection/>
    </xf>
    <xf numFmtId="0" fontId="22" fillId="33" borderId="15" xfId="51" applyFont="1" applyFill="1" applyBorder="1" applyAlignment="1">
      <alignment horizontal="left" vertical="center" wrapText="1"/>
      <protection/>
    </xf>
    <xf numFmtId="0" fontId="23" fillId="33" borderId="16" xfId="51" applyFont="1" applyFill="1" applyBorder="1" applyAlignment="1">
      <alignment vertical="center" wrapText="1"/>
      <protection/>
    </xf>
    <xf numFmtId="0" fontId="23" fillId="33" borderId="16" xfId="51" applyFont="1" applyFill="1" applyBorder="1" applyAlignment="1">
      <alignment horizontal="center" vertical="center" wrapText="1"/>
      <protection/>
    </xf>
    <xf numFmtId="3" fontId="22" fillId="33" borderId="16" xfId="51" applyNumberFormat="1" applyFont="1" applyFill="1" applyBorder="1" applyAlignment="1">
      <alignment horizontal="center" vertical="center" wrapText="1"/>
      <protection/>
    </xf>
    <xf numFmtId="0" fontId="22" fillId="0" borderId="15" xfId="51" applyFont="1" applyBorder="1" applyAlignment="1">
      <alignment vertical="center" wrapText="1"/>
      <protection/>
    </xf>
    <xf numFmtId="0" fontId="22" fillId="0" borderId="16" xfId="51" applyFont="1" applyBorder="1" applyAlignment="1">
      <alignment horizontal="left" vertical="center" wrapText="1"/>
      <protection/>
    </xf>
    <xf numFmtId="0" fontId="22" fillId="0" borderId="16" xfId="51" applyFont="1" applyBorder="1" applyAlignment="1">
      <alignment horizontal="center" vertical="center" wrapText="1"/>
      <protection/>
    </xf>
    <xf numFmtId="3" fontId="22" fillId="0" borderId="16" xfId="51" applyNumberFormat="1" applyFont="1" applyBorder="1" applyAlignment="1">
      <alignment horizontal="center" vertical="center" wrapText="1"/>
      <protection/>
    </xf>
    <xf numFmtId="3" fontId="22" fillId="0" borderId="17" xfId="51" applyNumberFormat="1" applyFont="1" applyBorder="1" applyAlignment="1">
      <alignment horizontal="center" vertical="center" wrapText="1"/>
      <protection/>
    </xf>
    <xf numFmtId="0" fontId="22" fillId="0" borderId="0" xfId="51" applyFont="1" applyBorder="1" applyAlignment="1">
      <alignment horizontal="left" wrapText="1"/>
      <protection/>
    </xf>
  </cellXfs>
  <cellStyles count="49">
    <cellStyle name="Normal" xfId="0"/>
    <cellStyle name="20% Akcenat1" xfId="15"/>
    <cellStyle name="20% Akcenat2" xfId="16"/>
    <cellStyle name="20% Akcenat3" xfId="17"/>
    <cellStyle name="20% Akcenat4" xfId="18"/>
    <cellStyle name="20% Akcenat5" xfId="19"/>
    <cellStyle name="20% Akcenat6" xfId="20"/>
    <cellStyle name="40% Akcenat1" xfId="21"/>
    <cellStyle name="40% Akcenat2" xfId="22"/>
    <cellStyle name="40% Akcenat3" xfId="23"/>
    <cellStyle name="40% Akcenat4" xfId="24"/>
    <cellStyle name="40% Akcenat5" xfId="25"/>
    <cellStyle name="40% Akcenat6" xfId="26"/>
    <cellStyle name="60% Akcenat1" xfId="27"/>
    <cellStyle name="60% Akcenat2" xfId="28"/>
    <cellStyle name="60% Akcenat3" xfId="29"/>
    <cellStyle name="60% Akcenat4" xfId="30"/>
    <cellStyle name="60% Akcenat5" xfId="31"/>
    <cellStyle name="60% Akcenat6" xfId="32"/>
    <cellStyle name="Akcenat1" xfId="33"/>
    <cellStyle name="Akcenat2" xfId="34"/>
    <cellStyle name="Akcenat3" xfId="35"/>
    <cellStyle name="Akcenat4" xfId="36"/>
    <cellStyle name="Akcenat5" xfId="37"/>
    <cellStyle name="Akcenat6" xfId="38"/>
    <cellStyle name="Beleška" xfId="39"/>
    <cellStyle name="Ćelija za proveru" xfId="40"/>
    <cellStyle name="Dobro" xfId="41"/>
    <cellStyle name="Izlaz" xfId="42"/>
    <cellStyle name="Izračunavanje"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Povezana ćelija" xfId="53"/>
    <cellStyle name="Percent" xfId="54"/>
    <cellStyle name="Tekst objašnjenja" xfId="55"/>
    <cellStyle name="Tekst upozorenja" xfId="56"/>
    <cellStyle name="Ukupno" xfId="57"/>
    <cellStyle name="Unos" xfId="58"/>
    <cellStyle name="Currency" xfId="59"/>
    <cellStyle name="Currency [0]"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H89"/>
  <sheetViews>
    <sheetView zoomScale="70" zoomScaleNormal="70" zoomScalePageLayoutView="0" workbookViewId="0" topLeftCell="A1">
      <selection activeCell="G39" sqref="G39"/>
    </sheetView>
  </sheetViews>
  <sheetFormatPr defaultColWidth="9.140625" defaultRowHeight="15"/>
  <cols>
    <col min="1" max="1" width="18.421875" style="0" customWidth="1"/>
    <col min="2" max="2" width="103.00390625" style="0" customWidth="1"/>
    <col min="3" max="3" width="22.28125" style="0" customWidth="1"/>
    <col min="4" max="5" width="23.7109375" style="0" customWidth="1"/>
    <col min="6" max="6" width="25.7109375" style="389" customWidth="1"/>
    <col min="7" max="7" width="23.7109375" style="0" customWidth="1"/>
    <col min="8" max="8" width="23.57421875" style="0" customWidth="1"/>
  </cols>
  <sheetData>
    <row r="1" spans="1:8" ht="15.75">
      <c r="A1" s="1"/>
      <c r="B1" s="1"/>
      <c r="C1" s="1"/>
      <c r="D1" s="2"/>
      <c r="E1" s="3"/>
      <c r="F1" s="2"/>
      <c r="G1" s="2"/>
      <c r="H1" s="4" t="s">
        <v>0</v>
      </c>
    </row>
    <row r="2" spans="1:8" ht="15.75">
      <c r="A2" s="5" t="s">
        <v>1</v>
      </c>
      <c r="D2" s="6"/>
      <c r="E2" s="7"/>
      <c r="F2" s="6"/>
      <c r="G2" s="6"/>
      <c r="H2" s="6"/>
    </row>
    <row r="3" spans="1:8" ht="15.75">
      <c r="A3" s="5" t="s">
        <v>2</v>
      </c>
      <c r="D3" s="6"/>
      <c r="E3" s="7"/>
      <c r="F3" s="6"/>
      <c r="G3" s="6"/>
      <c r="H3" s="6"/>
    </row>
    <row r="4" spans="1:8" ht="15.75">
      <c r="A4" s="5"/>
      <c r="D4" s="6"/>
      <c r="E4" s="7"/>
      <c r="F4" s="6"/>
      <c r="G4" s="6"/>
      <c r="H4" s="6"/>
    </row>
    <row r="5" spans="1:8" ht="27">
      <c r="A5" s="792" t="s">
        <v>1524</v>
      </c>
      <c r="B5" s="792"/>
      <c r="C5" s="792"/>
      <c r="D5" s="792"/>
      <c r="E5" s="792"/>
      <c r="F5" s="792"/>
      <c r="G5" s="792"/>
      <c r="H5" s="792"/>
    </row>
    <row r="6" spans="1:8" ht="15.75">
      <c r="A6" s="1"/>
      <c r="B6" s="1"/>
      <c r="C6" s="1"/>
      <c r="D6" s="2"/>
      <c r="E6" s="8"/>
      <c r="F6" s="9"/>
      <c r="G6" s="2"/>
      <c r="H6" s="2"/>
    </row>
    <row r="7" spans="1:8" ht="15.75">
      <c r="A7" s="1"/>
      <c r="B7" s="1"/>
      <c r="C7" s="1"/>
      <c r="D7" s="2"/>
      <c r="E7" s="3"/>
      <c r="F7" s="2"/>
      <c r="G7" s="2"/>
      <c r="H7" s="2"/>
    </row>
    <row r="8" spans="1:8" ht="23.25" thickBot="1">
      <c r="A8" s="1"/>
      <c r="B8" s="1"/>
      <c r="C8" s="1"/>
      <c r="D8" s="2"/>
      <c r="E8" s="3"/>
      <c r="F8" s="2"/>
      <c r="G8" s="2"/>
      <c r="H8" s="10" t="s">
        <v>3</v>
      </c>
    </row>
    <row r="9" spans="1:8" ht="16.5" thickBot="1">
      <c r="A9" s="793" t="s">
        <v>4</v>
      </c>
      <c r="B9" s="794" t="s">
        <v>5</v>
      </c>
      <c r="C9" s="794" t="s">
        <v>6</v>
      </c>
      <c r="D9" s="795" t="s">
        <v>1488</v>
      </c>
      <c r="E9" s="796" t="s">
        <v>1489</v>
      </c>
      <c r="F9" s="797" t="s">
        <v>1525</v>
      </c>
      <c r="G9" s="797"/>
      <c r="H9" s="798" t="s">
        <v>1530</v>
      </c>
    </row>
    <row r="10" spans="1:8" ht="62.25" customHeight="1" thickBot="1">
      <c r="A10" s="793"/>
      <c r="B10" s="794"/>
      <c r="C10" s="794"/>
      <c r="D10" s="795"/>
      <c r="E10" s="796"/>
      <c r="F10" s="11" t="s">
        <v>7</v>
      </c>
      <c r="G10" s="12" t="s">
        <v>8</v>
      </c>
      <c r="H10" s="798"/>
    </row>
    <row r="11" spans="1:8" ht="15.75">
      <c r="A11" s="13">
        <v>1</v>
      </c>
      <c r="B11" s="14">
        <v>2</v>
      </c>
      <c r="C11" s="14">
        <v>3</v>
      </c>
      <c r="D11" s="14">
        <v>4</v>
      </c>
      <c r="E11" s="15">
        <v>5</v>
      </c>
      <c r="F11" s="14">
        <v>6</v>
      </c>
      <c r="G11" s="14">
        <v>7</v>
      </c>
      <c r="H11" s="16">
        <v>8</v>
      </c>
    </row>
    <row r="12" spans="1:8" ht="18.75">
      <c r="A12" s="17"/>
      <c r="B12" s="18" t="s">
        <v>9</v>
      </c>
      <c r="C12" s="19"/>
      <c r="D12" s="20"/>
      <c r="E12" s="20"/>
      <c r="F12" s="20"/>
      <c r="G12" s="20"/>
      <c r="H12" s="21"/>
    </row>
    <row r="13" spans="1:8" ht="32.25">
      <c r="A13" s="22" t="s">
        <v>10</v>
      </c>
      <c r="B13" s="23" t="s">
        <v>11</v>
      </c>
      <c r="C13" s="24">
        <v>1001</v>
      </c>
      <c r="D13" s="31">
        <v>404251</v>
      </c>
      <c r="E13" s="32">
        <v>970500</v>
      </c>
      <c r="F13" s="381">
        <v>724400</v>
      </c>
      <c r="G13" s="31">
        <f>G14+G21+G28+G29</f>
        <v>376508</v>
      </c>
      <c r="H13" s="391">
        <f>G13/F13</f>
        <v>0.5197515184980673</v>
      </c>
    </row>
    <row r="14" spans="1:8" ht="18.75">
      <c r="A14" s="17">
        <v>60</v>
      </c>
      <c r="B14" s="18" t="s">
        <v>12</v>
      </c>
      <c r="C14" s="19">
        <v>1002</v>
      </c>
      <c r="D14" s="25">
        <v>730</v>
      </c>
      <c r="E14" s="20">
        <v>500</v>
      </c>
      <c r="F14" s="382">
        <v>400</v>
      </c>
      <c r="G14" s="25">
        <f>G15+G16+G17+G18+G19+G20</f>
        <v>89</v>
      </c>
      <c r="H14" s="392">
        <f>G14/F14</f>
        <v>0.2225</v>
      </c>
    </row>
    <row r="15" spans="1:8" ht="37.5">
      <c r="A15" s="26">
        <v>600</v>
      </c>
      <c r="B15" s="27" t="s">
        <v>13</v>
      </c>
      <c r="C15" s="28">
        <v>1003</v>
      </c>
      <c r="D15" s="25"/>
      <c r="E15" s="20"/>
      <c r="F15" s="382"/>
      <c r="G15" s="25"/>
      <c r="H15" s="392"/>
    </row>
    <row r="16" spans="1:8" ht="37.5">
      <c r="A16" s="26">
        <v>601</v>
      </c>
      <c r="B16" s="27" t="s">
        <v>14</v>
      </c>
      <c r="C16" s="28">
        <v>1004</v>
      </c>
      <c r="D16" s="29"/>
      <c r="E16" s="20"/>
      <c r="F16" s="382"/>
      <c r="G16" s="25"/>
      <c r="H16" s="392"/>
    </row>
    <row r="17" spans="1:8" ht="37.5">
      <c r="A17" s="26">
        <v>602</v>
      </c>
      <c r="B17" s="27" t="s">
        <v>15</v>
      </c>
      <c r="C17" s="28">
        <v>1005</v>
      </c>
      <c r="D17" s="29"/>
      <c r="E17" s="20"/>
      <c r="F17" s="382"/>
      <c r="G17" s="25"/>
      <c r="H17" s="392"/>
    </row>
    <row r="18" spans="1:8" ht="37.5">
      <c r="A18" s="26">
        <v>603</v>
      </c>
      <c r="B18" s="27" t="s">
        <v>16</v>
      </c>
      <c r="C18" s="28">
        <v>1006</v>
      </c>
      <c r="D18" s="25"/>
      <c r="E18" s="20"/>
      <c r="F18" s="382"/>
      <c r="G18" s="25"/>
      <c r="H18" s="392"/>
    </row>
    <row r="19" spans="1:8" ht="18.75">
      <c r="A19" s="26">
        <v>604</v>
      </c>
      <c r="B19" s="27" t="s">
        <v>17</v>
      </c>
      <c r="C19" s="28">
        <v>1007</v>
      </c>
      <c r="D19" s="25">
        <v>730</v>
      </c>
      <c r="E19" s="20">
        <v>500</v>
      </c>
      <c r="F19" s="382">
        <v>400</v>
      </c>
      <c r="G19" s="25">
        <v>89</v>
      </c>
      <c r="H19" s="392">
        <f>G19/F19</f>
        <v>0.2225</v>
      </c>
    </row>
    <row r="20" spans="1:8" ht="18.75">
      <c r="A20" s="26">
        <v>605</v>
      </c>
      <c r="B20" s="27" t="s">
        <v>18</v>
      </c>
      <c r="C20" s="28">
        <v>1008</v>
      </c>
      <c r="D20" s="25"/>
      <c r="E20" s="20"/>
      <c r="F20" s="382"/>
      <c r="G20" s="25"/>
      <c r="H20" s="392"/>
    </row>
    <row r="21" spans="1:8" ht="37.5">
      <c r="A21" s="17">
        <v>61</v>
      </c>
      <c r="B21" s="18" t="s">
        <v>19</v>
      </c>
      <c r="C21" s="19">
        <v>1009</v>
      </c>
      <c r="D21" s="25">
        <v>403471</v>
      </c>
      <c r="E21" s="20">
        <v>970000</v>
      </c>
      <c r="F21" s="382">
        <v>724000</v>
      </c>
      <c r="G21" s="25">
        <f>G22+G23+G24+G25+G26+G27</f>
        <v>376419</v>
      </c>
      <c r="H21" s="391">
        <f>G21/F21</f>
        <v>0.5199157458563536</v>
      </c>
    </row>
    <row r="22" spans="1:8" ht="37.5">
      <c r="A22" s="26">
        <v>610</v>
      </c>
      <c r="B22" s="27" t="s">
        <v>20</v>
      </c>
      <c r="C22" s="28">
        <v>1010</v>
      </c>
      <c r="D22" s="25"/>
      <c r="E22" s="20"/>
      <c r="F22" s="382"/>
      <c r="G22" s="25"/>
      <c r="H22" s="391"/>
    </row>
    <row r="23" spans="1:8" ht="37.5">
      <c r="A23" s="26">
        <v>611</v>
      </c>
      <c r="B23" s="27" t="s">
        <v>21</v>
      </c>
      <c r="C23" s="28">
        <v>1011</v>
      </c>
      <c r="D23" s="25"/>
      <c r="E23" s="20"/>
      <c r="F23" s="382"/>
      <c r="G23" s="25"/>
      <c r="H23" s="391"/>
    </row>
    <row r="24" spans="1:8" ht="37.5">
      <c r="A24" s="26">
        <v>612</v>
      </c>
      <c r="B24" s="27" t="s">
        <v>22</v>
      </c>
      <c r="C24" s="28">
        <v>1012</v>
      </c>
      <c r="D24" s="25"/>
      <c r="E24" s="20"/>
      <c r="F24" s="382"/>
      <c r="G24" s="25"/>
      <c r="H24" s="391"/>
    </row>
    <row r="25" spans="1:8" ht="37.5">
      <c r="A25" s="26">
        <v>613</v>
      </c>
      <c r="B25" s="27" t="s">
        <v>23</v>
      </c>
      <c r="C25" s="28">
        <v>1013</v>
      </c>
      <c r="D25" s="25"/>
      <c r="E25" s="20"/>
      <c r="F25" s="382"/>
      <c r="G25" s="25"/>
      <c r="H25" s="391"/>
    </row>
    <row r="26" spans="1:8" ht="18.75">
      <c r="A26" s="26">
        <v>614</v>
      </c>
      <c r="B26" s="27" t="s">
        <v>24</v>
      </c>
      <c r="C26" s="28">
        <v>1014</v>
      </c>
      <c r="D26" s="25">
        <v>403471</v>
      </c>
      <c r="E26" s="20">
        <v>970000</v>
      </c>
      <c r="F26" s="382">
        <v>724000</v>
      </c>
      <c r="G26" s="25">
        <v>376419</v>
      </c>
      <c r="H26" s="391">
        <f>G26/F26</f>
        <v>0.5199157458563536</v>
      </c>
    </row>
    <row r="27" spans="1:8" ht="18.75">
      <c r="A27" s="26">
        <v>615</v>
      </c>
      <c r="B27" s="27" t="s">
        <v>25</v>
      </c>
      <c r="C27" s="28">
        <v>1015</v>
      </c>
      <c r="D27" s="25"/>
      <c r="E27" s="20"/>
      <c r="F27" s="382"/>
      <c r="G27" s="25"/>
      <c r="H27" s="391"/>
    </row>
    <row r="28" spans="1:8" s="468" customFormat="1" ht="18" customHeight="1">
      <c r="A28" s="761">
        <v>64</v>
      </c>
      <c r="B28" s="62" t="s">
        <v>26</v>
      </c>
      <c r="C28" s="762">
        <v>1016</v>
      </c>
      <c r="D28" s="25">
        <v>50</v>
      </c>
      <c r="E28" s="20"/>
      <c r="F28" s="382"/>
      <c r="G28" s="25"/>
      <c r="H28" s="391"/>
    </row>
    <row r="29" spans="1:8" ht="18.75">
      <c r="A29" s="26">
        <v>65</v>
      </c>
      <c r="B29" s="18" t="s">
        <v>27</v>
      </c>
      <c r="C29" s="28">
        <v>1017</v>
      </c>
      <c r="D29" s="25"/>
      <c r="E29" s="20"/>
      <c r="F29" s="382"/>
      <c r="G29" s="25"/>
      <c r="H29" s="391"/>
    </row>
    <row r="30" spans="1:8" ht="18.75">
      <c r="A30" s="17"/>
      <c r="B30" s="18" t="s">
        <v>28</v>
      </c>
      <c r="C30" s="30"/>
      <c r="D30" s="25"/>
      <c r="E30" s="20"/>
      <c r="F30" s="382"/>
      <c r="G30" s="25"/>
      <c r="H30" s="391"/>
    </row>
    <row r="31" spans="1:8" ht="37.5">
      <c r="A31" s="22" t="s">
        <v>29</v>
      </c>
      <c r="B31" s="23" t="s">
        <v>30</v>
      </c>
      <c r="C31" s="24">
        <v>1018</v>
      </c>
      <c r="D31" s="31">
        <v>537707</v>
      </c>
      <c r="E31" s="32">
        <v>941043</v>
      </c>
      <c r="F31" s="381">
        <v>704764</v>
      </c>
      <c r="G31" s="31">
        <f>G32-G33-G34+G35+G36+G37+G38+G39+G40+G41+G42</f>
        <v>362935</v>
      </c>
      <c r="H31" s="391">
        <f>G31/F31</f>
        <v>0.5149738068346283</v>
      </c>
    </row>
    <row r="32" spans="1:8" ht="18.75">
      <c r="A32" s="26">
        <v>50</v>
      </c>
      <c r="B32" s="27" t="s">
        <v>31</v>
      </c>
      <c r="C32" s="33">
        <v>1019</v>
      </c>
      <c r="D32" s="25"/>
      <c r="E32" s="20"/>
      <c r="F32" s="382"/>
      <c r="G32" s="25"/>
      <c r="H32" s="391"/>
    </row>
    <row r="33" spans="1:8" ht="18.75">
      <c r="A33" s="26">
        <v>62</v>
      </c>
      <c r="B33" s="27" t="s">
        <v>32</v>
      </c>
      <c r="C33" s="28">
        <v>1020</v>
      </c>
      <c r="D33" s="25"/>
      <c r="E33" s="20"/>
      <c r="F33" s="382"/>
      <c r="G33" s="25"/>
      <c r="H33" s="391"/>
    </row>
    <row r="34" spans="1:8" ht="37.5">
      <c r="A34" s="26">
        <v>630</v>
      </c>
      <c r="B34" s="27" t="s">
        <v>33</v>
      </c>
      <c r="C34" s="33">
        <v>1021</v>
      </c>
      <c r="D34" s="25"/>
      <c r="E34" s="20"/>
      <c r="F34" s="382"/>
      <c r="G34" s="25"/>
      <c r="H34" s="391"/>
    </row>
    <row r="35" spans="1:8" ht="37.5">
      <c r="A35" s="26">
        <v>631</v>
      </c>
      <c r="B35" s="27" t="s">
        <v>34</v>
      </c>
      <c r="C35" s="28">
        <v>1022</v>
      </c>
      <c r="D35" s="25"/>
      <c r="E35" s="20"/>
      <c r="F35" s="382"/>
      <c r="G35" s="25"/>
      <c r="H35" s="391"/>
    </row>
    <row r="36" spans="1:8" ht="18.75">
      <c r="A36" s="26" t="s">
        <v>35</v>
      </c>
      <c r="B36" s="27" t="s">
        <v>36</v>
      </c>
      <c r="C36" s="28">
        <v>1023</v>
      </c>
      <c r="D36" s="25">
        <v>14242</v>
      </c>
      <c r="E36" s="20">
        <v>38100</v>
      </c>
      <c r="F36" s="382">
        <v>27300</v>
      </c>
      <c r="G36" s="25">
        <v>7003</v>
      </c>
      <c r="H36" s="391">
        <f aca="true" t="shared" si="0" ref="H36:H42">G36/F36</f>
        <v>0.25652014652014654</v>
      </c>
    </row>
    <row r="37" spans="1:8" ht="18.75">
      <c r="A37" s="26">
        <v>513</v>
      </c>
      <c r="B37" s="27" t="s">
        <v>37</v>
      </c>
      <c r="C37" s="28">
        <v>1024</v>
      </c>
      <c r="D37" s="25">
        <v>32618</v>
      </c>
      <c r="E37" s="20">
        <v>46000</v>
      </c>
      <c r="F37" s="382">
        <v>36800</v>
      </c>
      <c r="G37" s="25">
        <v>24883</v>
      </c>
      <c r="H37" s="391">
        <f t="shared" si="0"/>
        <v>0.6761684782608696</v>
      </c>
    </row>
    <row r="38" spans="1:8" ht="18.75">
      <c r="A38" s="26">
        <v>52</v>
      </c>
      <c r="B38" s="27" t="s">
        <v>38</v>
      </c>
      <c r="C38" s="28">
        <v>1025</v>
      </c>
      <c r="D38" s="25">
        <v>180853</v>
      </c>
      <c r="E38" s="20">
        <v>223668</v>
      </c>
      <c r="F38" s="382">
        <v>163644</v>
      </c>
      <c r="G38" s="25">
        <v>133443</v>
      </c>
      <c r="H38" s="391">
        <f t="shared" si="0"/>
        <v>0.8154469458091955</v>
      </c>
    </row>
    <row r="39" spans="1:8" ht="18.75">
      <c r="A39" s="26">
        <v>53</v>
      </c>
      <c r="B39" s="27" t="s">
        <v>39</v>
      </c>
      <c r="C39" s="28">
        <v>1026</v>
      </c>
      <c r="D39" s="25">
        <v>164795</v>
      </c>
      <c r="E39" s="20">
        <v>600705</v>
      </c>
      <c r="F39" s="382">
        <v>463764</v>
      </c>
      <c r="G39" s="25">
        <v>186500</v>
      </c>
      <c r="H39" s="391">
        <f t="shared" si="0"/>
        <v>0.402144194029722</v>
      </c>
    </row>
    <row r="40" spans="1:8" ht="18.75">
      <c r="A40" s="26">
        <v>540</v>
      </c>
      <c r="B40" s="27" t="s">
        <v>40</v>
      </c>
      <c r="C40" s="28">
        <v>1027</v>
      </c>
      <c r="D40" s="25">
        <v>22013</v>
      </c>
      <c r="E40" s="20">
        <v>14000</v>
      </c>
      <c r="F40" s="382"/>
      <c r="G40" s="25"/>
      <c r="H40" s="391"/>
    </row>
    <row r="41" spans="1:8" ht="18.75">
      <c r="A41" s="26" t="s">
        <v>41</v>
      </c>
      <c r="B41" s="27" t="s">
        <v>42</v>
      </c>
      <c r="C41" s="28">
        <v>1028</v>
      </c>
      <c r="D41" s="25">
        <v>111978</v>
      </c>
      <c r="E41" s="20">
        <v>2000</v>
      </c>
      <c r="F41" s="382"/>
      <c r="G41" s="20"/>
      <c r="H41" s="391"/>
    </row>
    <row r="42" spans="1:8" ht="18.75">
      <c r="A42" s="26">
        <v>55</v>
      </c>
      <c r="B42" s="27" t="s">
        <v>43</v>
      </c>
      <c r="C42" s="28">
        <v>1029</v>
      </c>
      <c r="D42" s="36">
        <v>11208</v>
      </c>
      <c r="E42" s="36">
        <v>16570</v>
      </c>
      <c r="F42" s="382">
        <v>13256</v>
      </c>
      <c r="G42" s="36">
        <v>11106</v>
      </c>
      <c r="H42" s="391">
        <f t="shared" si="0"/>
        <v>0.837809293904647</v>
      </c>
    </row>
    <row r="43" spans="1:8" ht="18.75">
      <c r="A43" s="22"/>
      <c r="B43" s="23" t="s">
        <v>44</v>
      </c>
      <c r="C43" s="24">
        <v>1030</v>
      </c>
      <c r="D43" s="393"/>
      <c r="E43" s="394">
        <v>29457</v>
      </c>
      <c r="F43" s="381">
        <v>19636</v>
      </c>
      <c r="G43" s="393">
        <f>G13-G31</f>
        <v>13573</v>
      </c>
      <c r="H43" s="391"/>
    </row>
    <row r="44" spans="1:8" ht="18.75">
      <c r="A44" s="22"/>
      <c r="B44" s="23" t="s">
        <v>45</v>
      </c>
      <c r="C44" s="24">
        <v>1031</v>
      </c>
      <c r="D44" s="393">
        <v>133456</v>
      </c>
      <c r="E44" s="395"/>
      <c r="F44" s="381"/>
      <c r="G44" s="396"/>
      <c r="H44" s="391"/>
    </row>
    <row r="45" spans="1:8" ht="18.75">
      <c r="A45" s="22">
        <v>66</v>
      </c>
      <c r="B45" s="23" t="s">
        <v>46</v>
      </c>
      <c r="C45" s="24">
        <v>1032</v>
      </c>
      <c r="D45" s="393"/>
      <c r="E45" s="393"/>
      <c r="F45" s="381"/>
      <c r="G45" s="393">
        <f>G46+G51+G52</f>
        <v>0</v>
      </c>
      <c r="H45" s="391"/>
    </row>
    <row r="46" spans="1:8" ht="37.5">
      <c r="A46" s="17" t="s">
        <v>47</v>
      </c>
      <c r="B46" s="18" t="s">
        <v>48</v>
      </c>
      <c r="C46" s="35">
        <v>1033</v>
      </c>
      <c r="D46" s="36"/>
      <c r="E46" s="36"/>
      <c r="F46" s="382"/>
      <c r="G46" s="36"/>
      <c r="H46" s="391"/>
    </row>
    <row r="47" spans="1:8" ht="18.75">
      <c r="A47" s="26">
        <v>660</v>
      </c>
      <c r="B47" s="27" t="s">
        <v>49</v>
      </c>
      <c r="C47" s="33">
        <v>1034</v>
      </c>
      <c r="D47" s="36"/>
      <c r="E47" s="36"/>
      <c r="F47" s="382"/>
      <c r="G47" s="36"/>
      <c r="H47" s="391"/>
    </row>
    <row r="48" spans="1:8" ht="18.75">
      <c r="A48" s="26">
        <v>661</v>
      </c>
      <c r="B48" s="27" t="s">
        <v>50</v>
      </c>
      <c r="C48" s="33">
        <v>1035</v>
      </c>
      <c r="D48" s="36"/>
      <c r="E48" s="36"/>
      <c r="F48" s="382"/>
      <c r="G48" s="36"/>
      <c r="H48" s="391"/>
    </row>
    <row r="49" spans="1:8" ht="37.5">
      <c r="A49" s="26">
        <v>665</v>
      </c>
      <c r="B49" s="27" t="s">
        <v>51</v>
      </c>
      <c r="C49" s="28">
        <v>1036</v>
      </c>
      <c r="D49" s="36"/>
      <c r="E49" s="36"/>
      <c r="F49" s="382"/>
      <c r="G49" s="36"/>
      <c r="H49" s="391"/>
    </row>
    <row r="50" spans="1:8" ht="18.75">
      <c r="A50" s="26">
        <v>669</v>
      </c>
      <c r="B50" s="27" t="s">
        <v>52</v>
      </c>
      <c r="C50" s="28">
        <v>1037</v>
      </c>
      <c r="D50" s="36"/>
      <c r="E50" s="36"/>
      <c r="F50" s="382"/>
      <c r="G50" s="36"/>
      <c r="H50" s="391"/>
    </row>
    <row r="51" spans="1:8" ht="18.75">
      <c r="A51" s="17">
        <v>662</v>
      </c>
      <c r="B51" s="18" t="s">
        <v>53</v>
      </c>
      <c r="C51" s="19">
        <v>1038</v>
      </c>
      <c r="D51" s="36"/>
      <c r="E51" s="36"/>
      <c r="F51" s="382"/>
      <c r="G51" s="36"/>
      <c r="H51" s="391"/>
    </row>
    <row r="52" spans="1:8" ht="37.5">
      <c r="A52" s="17" t="s">
        <v>54</v>
      </c>
      <c r="B52" s="18" t="s">
        <v>55</v>
      </c>
      <c r="C52" s="19">
        <v>1039</v>
      </c>
      <c r="D52" s="36"/>
      <c r="E52" s="20"/>
      <c r="F52" s="382"/>
      <c r="G52" s="20"/>
      <c r="H52" s="391"/>
    </row>
    <row r="53" spans="1:8" ht="18.75">
      <c r="A53" s="22">
        <v>56</v>
      </c>
      <c r="B53" s="23" t="s">
        <v>56</v>
      </c>
      <c r="C53" s="24">
        <v>1040</v>
      </c>
      <c r="D53" s="393">
        <v>7792</v>
      </c>
      <c r="E53" s="393">
        <v>4100</v>
      </c>
      <c r="F53" s="381">
        <v>3075</v>
      </c>
      <c r="G53" s="393">
        <f>G54+G59+G60</f>
        <v>1889</v>
      </c>
      <c r="H53" s="391">
        <f>G53/F53</f>
        <v>0.6143089430894308</v>
      </c>
    </row>
    <row r="54" spans="1:8" ht="37.5">
      <c r="A54" s="17" t="s">
        <v>57</v>
      </c>
      <c r="B54" s="18" t="s">
        <v>58</v>
      </c>
      <c r="C54" s="19">
        <v>1041</v>
      </c>
      <c r="D54" s="36">
        <v>161</v>
      </c>
      <c r="E54" s="36">
        <v>100</v>
      </c>
      <c r="F54" s="36">
        <v>75</v>
      </c>
      <c r="G54" s="36">
        <f>G55+G56+G57+G58</f>
        <v>217</v>
      </c>
      <c r="H54" s="391">
        <f>G54/F54</f>
        <v>2.8933333333333335</v>
      </c>
    </row>
    <row r="55" spans="1:8" ht="18.75">
      <c r="A55" s="26">
        <v>560</v>
      </c>
      <c r="B55" s="27" t="s">
        <v>59</v>
      </c>
      <c r="C55" s="33">
        <v>1042</v>
      </c>
      <c r="D55" s="36"/>
      <c r="E55" s="36"/>
      <c r="F55" s="382"/>
      <c r="G55" s="36"/>
      <c r="H55" s="391"/>
    </row>
    <row r="56" spans="1:8" ht="18.75">
      <c r="A56" s="26">
        <v>561</v>
      </c>
      <c r="B56" s="27" t="s">
        <v>60</v>
      </c>
      <c r="C56" s="33">
        <v>1043</v>
      </c>
      <c r="D56" s="36"/>
      <c r="E56" s="36"/>
      <c r="F56" s="382"/>
      <c r="G56" s="36"/>
      <c r="H56" s="391"/>
    </row>
    <row r="57" spans="1:8" ht="18.75">
      <c r="A57" s="26">
        <v>565</v>
      </c>
      <c r="B57" s="27" t="s">
        <v>61</v>
      </c>
      <c r="C57" s="33">
        <v>1044</v>
      </c>
      <c r="D57" s="36"/>
      <c r="E57" s="36"/>
      <c r="F57" s="382"/>
      <c r="G57" s="36"/>
      <c r="H57" s="391"/>
    </row>
    <row r="58" spans="1:8" ht="18.75">
      <c r="A58" s="26" t="s">
        <v>62</v>
      </c>
      <c r="B58" s="27" t="s">
        <v>63</v>
      </c>
      <c r="C58" s="28">
        <v>1045</v>
      </c>
      <c r="D58" s="36">
        <v>161</v>
      </c>
      <c r="E58" s="36">
        <v>100</v>
      </c>
      <c r="F58" s="382">
        <v>75</v>
      </c>
      <c r="G58" s="36">
        <v>217</v>
      </c>
      <c r="H58" s="391">
        <f>G58/F58</f>
        <v>2.8933333333333335</v>
      </c>
    </row>
    <row r="59" spans="1:8" ht="18.75">
      <c r="A59" s="26">
        <v>562</v>
      </c>
      <c r="B59" s="18" t="s">
        <v>64</v>
      </c>
      <c r="C59" s="19">
        <v>1046</v>
      </c>
      <c r="D59" s="36">
        <v>7631</v>
      </c>
      <c r="E59" s="36">
        <v>4000</v>
      </c>
      <c r="F59" s="382">
        <v>3000</v>
      </c>
      <c r="G59" s="36">
        <v>1672</v>
      </c>
      <c r="H59" s="391">
        <f>G59/F59</f>
        <v>0.5573333333333333</v>
      </c>
    </row>
    <row r="60" spans="1:8" ht="37.5">
      <c r="A60" s="17" t="s">
        <v>65</v>
      </c>
      <c r="B60" s="18" t="s">
        <v>66</v>
      </c>
      <c r="C60" s="19">
        <v>1047</v>
      </c>
      <c r="D60" s="36"/>
      <c r="E60" s="36"/>
      <c r="F60" s="382"/>
      <c r="G60" s="36"/>
      <c r="H60" s="391"/>
    </row>
    <row r="61" spans="1:8" ht="18.75">
      <c r="A61" s="22"/>
      <c r="B61" s="23" t="s">
        <v>67</v>
      </c>
      <c r="C61" s="24">
        <v>1048</v>
      </c>
      <c r="D61" s="393"/>
      <c r="E61" s="393"/>
      <c r="F61" s="381"/>
      <c r="G61" s="393"/>
      <c r="H61" s="391"/>
    </row>
    <row r="62" spans="1:8" ht="18.75">
      <c r="A62" s="22"/>
      <c r="B62" s="23" t="s">
        <v>68</v>
      </c>
      <c r="C62" s="24">
        <v>1049</v>
      </c>
      <c r="D62" s="393">
        <v>7792</v>
      </c>
      <c r="E62" s="393">
        <v>4100</v>
      </c>
      <c r="F62" s="381">
        <v>3075</v>
      </c>
      <c r="G62" s="393">
        <f>G53-G45</f>
        <v>1889</v>
      </c>
      <c r="H62" s="391">
        <f>G62/F62</f>
        <v>0.6143089430894308</v>
      </c>
    </row>
    <row r="63" spans="1:8" ht="37.5">
      <c r="A63" s="26" t="s">
        <v>69</v>
      </c>
      <c r="B63" s="27" t="s">
        <v>70</v>
      </c>
      <c r="C63" s="28">
        <v>1050</v>
      </c>
      <c r="D63" s="36">
        <v>101451</v>
      </c>
      <c r="E63" s="36"/>
      <c r="F63" s="382"/>
      <c r="G63" s="36">
        <v>14</v>
      </c>
      <c r="H63" s="391"/>
    </row>
    <row r="64" spans="1:8" ht="37.5">
      <c r="A64" s="26" t="s">
        <v>71</v>
      </c>
      <c r="B64" s="27" t="s">
        <v>72</v>
      </c>
      <c r="C64" s="33">
        <v>1051</v>
      </c>
      <c r="D64" s="36">
        <v>179</v>
      </c>
      <c r="E64" s="36"/>
      <c r="F64" s="382"/>
      <c r="G64" s="36">
        <v>14631</v>
      </c>
      <c r="H64" s="391"/>
    </row>
    <row r="65" spans="1:8" ht="32.25">
      <c r="A65" s="22" t="s">
        <v>73</v>
      </c>
      <c r="B65" s="23" t="s">
        <v>74</v>
      </c>
      <c r="C65" s="24">
        <v>1052</v>
      </c>
      <c r="D65" s="393">
        <v>71960</v>
      </c>
      <c r="E65" s="393">
        <v>10000</v>
      </c>
      <c r="F65" s="381">
        <v>7500</v>
      </c>
      <c r="G65" s="393">
        <v>5487</v>
      </c>
      <c r="H65" s="391">
        <f>G65/F65</f>
        <v>0.7316</v>
      </c>
    </row>
    <row r="66" spans="1:8" ht="32.25">
      <c r="A66" s="22" t="s">
        <v>75</v>
      </c>
      <c r="B66" s="23" t="s">
        <v>76</v>
      </c>
      <c r="C66" s="24">
        <v>1053</v>
      </c>
      <c r="D66" s="393">
        <v>14004</v>
      </c>
      <c r="E66" s="393">
        <v>2550</v>
      </c>
      <c r="F66" s="381"/>
      <c r="G66" s="393">
        <v>4069</v>
      </c>
      <c r="H66" s="391"/>
    </row>
    <row r="67" spans="1:8" ht="45" customHeight="1">
      <c r="A67" s="37"/>
      <c r="B67" s="38" t="s">
        <v>77</v>
      </c>
      <c r="C67" s="33">
        <v>1054</v>
      </c>
      <c r="D67" s="390">
        <v>17980</v>
      </c>
      <c r="E67" s="390">
        <v>32807</v>
      </c>
      <c r="F67" s="382">
        <v>24061</v>
      </c>
      <c r="G67" s="390"/>
      <c r="H67" s="391">
        <f>G67/F67</f>
        <v>0</v>
      </c>
    </row>
    <row r="68" spans="1:8" ht="37.5">
      <c r="A68" s="37"/>
      <c r="B68" s="38" t="s">
        <v>78</v>
      </c>
      <c r="C68" s="33">
        <v>1055</v>
      </c>
      <c r="D68" s="390"/>
      <c r="E68" s="390"/>
      <c r="F68" s="390"/>
      <c r="G68" s="390">
        <f>G44-G43+G62-G61+G64-G63+G66-G65</f>
        <v>1515</v>
      </c>
      <c r="H68" s="391"/>
    </row>
    <row r="69" spans="1:8" ht="56.25">
      <c r="A69" s="26" t="s">
        <v>79</v>
      </c>
      <c r="B69" s="27" t="s">
        <v>80</v>
      </c>
      <c r="C69" s="28">
        <v>1056</v>
      </c>
      <c r="D69" s="36"/>
      <c r="E69" s="36"/>
      <c r="F69" s="382"/>
      <c r="G69" s="36"/>
      <c r="H69" s="391"/>
    </row>
    <row r="70" spans="1:8" ht="56.25">
      <c r="A70" s="26" t="s">
        <v>81</v>
      </c>
      <c r="B70" s="27" t="s">
        <v>82</v>
      </c>
      <c r="C70" s="33">
        <v>1057</v>
      </c>
      <c r="D70" s="36"/>
      <c r="E70" s="36"/>
      <c r="F70" s="382"/>
      <c r="G70" s="36"/>
      <c r="H70" s="391"/>
    </row>
    <row r="71" spans="1:8" ht="18.75">
      <c r="A71" s="22"/>
      <c r="B71" s="23" t="s">
        <v>83</v>
      </c>
      <c r="C71" s="24">
        <v>1058</v>
      </c>
      <c r="D71" s="393">
        <v>17980</v>
      </c>
      <c r="E71" s="393">
        <v>32807</v>
      </c>
      <c r="F71" s="381">
        <f>F67</f>
        <v>24061</v>
      </c>
      <c r="G71" s="381">
        <f>G67</f>
        <v>0</v>
      </c>
      <c r="H71" s="391">
        <f>G71/F71</f>
        <v>0</v>
      </c>
    </row>
    <row r="72" spans="1:8" ht="18.75">
      <c r="A72" s="39"/>
      <c r="B72" s="40" t="s">
        <v>84</v>
      </c>
      <c r="C72" s="24">
        <v>1059</v>
      </c>
      <c r="D72" s="393"/>
      <c r="E72" s="393"/>
      <c r="F72" s="393"/>
      <c r="G72" s="393">
        <f>G68-G67+G70-G69</f>
        <v>1515</v>
      </c>
      <c r="H72" s="391"/>
    </row>
    <row r="73" spans="1:8" ht="18.75">
      <c r="A73" s="26"/>
      <c r="B73" s="41" t="s">
        <v>85</v>
      </c>
      <c r="C73" s="28"/>
      <c r="D73" s="36"/>
      <c r="E73" s="36"/>
      <c r="F73" s="382"/>
      <c r="G73" s="36"/>
      <c r="H73" s="391"/>
    </row>
    <row r="74" spans="1:8" ht="18.75">
      <c r="A74" s="26">
        <v>721</v>
      </c>
      <c r="B74" s="41" t="s">
        <v>86</v>
      </c>
      <c r="C74" s="28">
        <v>1060</v>
      </c>
      <c r="D74" s="36">
        <v>2991</v>
      </c>
      <c r="E74" s="36"/>
      <c r="F74" s="382"/>
      <c r="G74" s="36"/>
      <c r="H74" s="391"/>
    </row>
    <row r="75" spans="1:8" ht="18.75">
      <c r="A75" s="26" t="s">
        <v>87</v>
      </c>
      <c r="B75" s="41" t="s">
        <v>88</v>
      </c>
      <c r="C75" s="33">
        <v>1061</v>
      </c>
      <c r="D75" s="36"/>
      <c r="E75" s="36"/>
      <c r="F75" s="382"/>
      <c r="G75" s="36"/>
      <c r="H75" s="391"/>
    </row>
    <row r="76" spans="1:8" ht="18.75">
      <c r="A76" s="26" t="s">
        <v>87</v>
      </c>
      <c r="B76" s="41" t="s">
        <v>89</v>
      </c>
      <c r="C76" s="33">
        <v>1062</v>
      </c>
      <c r="D76" s="36">
        <v>7016</v>
      </c>
      <c r="E76" s="36"/>
      <c r="F76" s="382"/>
      <c r="G76" s="36"/>
      <c r="H76" s="391"/>
    </row>
    <row r="77" spans="1:8" ht="18.75">
      <c r="A77" s="26">
        <v>723</v>
      </c>
      <c r="B77" s="41" t="s">
        <v>90</v>
      </c>
      <c r="C77" s="28">
        <v>1063</v>
      </c>
      <c r="D77" s="36"/>
      <c r="E77" s="36"/>
      <c r="F77" s="382"/>
      <c r="G77" s="36"/>
      <c r="H77" s="391"/>
    </row>
    <row r="78" spans="1:8" ht="18.75">
      <c r="A78" s="22"/>
      <c r="B78" s="40" t="s">
        <v>91</v>
      </c>
      <c r="C78" s="24">
        <v>1064</v>
      </c>
      <c r="D78" s="393">
        <f>D71-D74+D76</f>
        <v>22005</v>
      </c>
      <c r="E78" s="393">
        <v>32807</v>
      </c>
      <c r="F78" s="381">
        <f>F71</f>
        <v>24061</v>
      </c>
      <c r="G78" s="381">
        <f>G71</f>
        <v>0</v>
      </c>
      <c r="H78" s="391">
        <f>G78/F78</f>
        <v>0</v>
      </c>
    </row>
    <row r="79" spans="1:8" ht="18.75">
      <c r="A79" s="39"/>
      <c r="B79" s="40" t="s">
        <v>92</v>
      </c>
      <c r="C79" s="24">
        <v>1065</v>
      </c>
      <c r="D79" s="393"/>
      <c r="E79" s="393"/>
      <c r="F79" s="393">
        <f>+F72</f>
        <v>0</v>
      </c>
      <c r="G79" s="393">
        <f>+G72</f>
        <v>1515</v>
      </c>
      <c r="H79" s="391"/>
    </row>
    <row r="80" spans="1:8" ht="18.75">
      <c r="A80" s="42"/>
      <c r="B80" s="41" t="s">
        <v>93</v>
      </c>
      <c r="C80" s="28">
        <v>1066</v>
      </c>
      <c r="D80" s="36"/>
      <c r="E80" s="36"/>
      <c r="F80" s="383"/>
      <c r="G80" s="36"/>
      <c r="H80" s="391"/>
    </row>
    <row r="81" spans="1:8" ht="18.75">
      <c r="A81" s="42"/>
      <c r="B81" s="41" t="s">
        <v>94</v>
      </c>
      <c r="C81" s="28">
        <v>1067</v>
      </c>
      <c r="D81" s="36"/>
      <c r="E81" s="36"/>
      <c r="F81" s="383"/>
      <c r="G81" s="36"/>
      <c r="H81" s="391"/>
    </row>
    <row r="82" spans="1:8" ht="18.75">
      <c r="A82" s="42"/>
      <c r="B82" s="41" t="s">
        <v>95</v>
      </c>
      <c r="C82" s="28">
        <v>1068</v>
      </c>
      <c r="D82" s="36"/>
      <c r="E82" s="36"/>
      <c r="F82" s="384"/>
      <c r="G82" s="36"/>
      <c r="H82" s="391"/>
    </row>
    <row r="83" spans="1:8" ht="18.75">
      <c r="A83" s="42"/>
      <c r="B83" s="41" t="s">
        <v>96</v>
      </c>
      <c r="C83" s="28">
        <v>1069</v>
      </c>
      <c r="D83" s="36"/>
      <c r="E83" s="36"/>
      <c r="F83" s="385"/>
      <c r="G83" s="36"/>
      <c r="H83" s="391"/>
    </row>
    <row r="84" spans="1:8" ht="18.75">
      <c r="A84" s="42"/>
      <c r="B84" s="41" t="s">
        <v>97</v>
      </c>
      <c r="C84" s="33"/>
      <c r="D84" s="36"/>
      <c r="E84" s="36"/>
      <c r="F84" s="386"/>
      <c r="G84" s="36"/>
      <c r="H84" s="391"/>
    </row>
    <row r="85" spans="1:8" ht="18.75">
      <c r="A85" s="42"/>
      <c r="B85" s="41" t="s">
        <v>98</v>
      </c>
      <c r="C85" s="33">
        <v>1070</v>
      </c>
      <c r="D85" s="36"/>
      <c r="E85" s="36"/>
      <c r="F85" s="387"/>
      <c r="G85" s="36"/>
      <c r="H85" s="391"/>
    </row>
    <row r="86" spans="1:8" ht="19.5" thickBot="1">
      <c r="A86" s="43"/>
      <c r="B86" s="44" t="s">
        <v>99</v>
      </c>
      <c r="C86" s="45">
        <v>1071</v>
      </c>
      <c r="D86" s="397"/>
      <c r="E86" s="397"/>
      <c r="F86" s="388"/>
      <c r="G86" s="397"/>
      <c r="H86" s="391"/>
    </row>
    <row r="87" spans="1:8" ht="15.75">
      <c r="A87" s="1"/>
      <c r="B87" s="1"/>
      <c r="C87" s="46"/>
      <c r="D87" s="47"/>
      <c r="E87" s="3"/>
      <c r="F87" s="2"/>
      <c r="G87" s="2"/>
      <c r="H87" s="2"/>
    </row>
    <row r="88" spans="1:8" ht="18.75">
      <c r="A88" s="1" t="s">
        <v>1547</v>
      </c>
      <c r="B88" s="1"/>
      <c r="C88" s="46"/>
      <c r="D88" s="48"/>
      <c r="E88" s="49"/>
      <c r="F88" s="50" t="s">
        <v>100</v>
      </c>
      <c r="G88" s="51"/>
      <c r="H88" s="50"/>
    </row>
    <row r="89" spans="1:8" ht="18.75">
      <c r="A89" s="1"/>
      <c r="B89" s="1"/>
      <c r="C89" s="52" t="s">
        <v>101</v>
      </c>
      <c r="D89" s="2"/>
      <c r="E89" s="3"/>
      <c r="F89" s="2"/>
      <c r="G89" s="2"/>
      <c r="H89" s="2"/>
    </row>
  </sheetData>
  <sheetProtection/>
  <mergeCells count="8">
    <mergeCell ref="A5:H5"/>
    <mergeCell ref="A9:A10"/>
    <mergeCell ref="B9:B10"/>
    <mergeCell ref="C9:C10"/>
    <mergeCell ref="D9:D10"/>
    <mergeCell ref="E9:E10"/>
    <mergeCell ref="F9:G9"/>
    <mergeCell ref="H9:H10"/>
  </mergeCells>
  <printOptions/>
  <pageMargins left="0.25" right="0.25" top="0.75" bottom="0.75" header="0.3" footer="0.3"/>
  <pageSetup fitToHeight="0" horizontalDpi="600" verticalDpi="600" orientation="landscape" paperSize="9" scale="40" r:id="rId1"/>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U29"/>
  <sheetViews>
    <sheetView zoomScale="70" zoomScaleNormal="70" zoomScalePageLayoutView="0" workbookViewId="0" topLeftCell="A1">
      <selection activeCell="B35" sqref="B35"/>
    </sheetView>
  </sheetViews>
  <sheetFormatPr defaultColWidth="9.140625" defaultRowHeight="15"/>
  <cols>
    <col min="1" max="1" width="31.7109375" style="0" customWidth="1"/>
    <col min="2" max="2" width="28.28125" style="0" customWidth="1"/>
    <col min="3" max="3" width="12.8515625" style="0" customWidth="1"/>
    <col min="4" max="4" width="16.7109375" style="0" customWidth="1"/>
    <col min="5" max="5" width="19.421875" style="0" customWidth="1"/>
    <col min="6" max="7" width="27.28125" style="0" customWidth="1"/>
    <col min="8" max="9" width="13.7109375" style="0" customWidth="1"/>
    <col min="10" max="10" width="16.57421875" style="0" customWidth="1"/>
    <col min="11" max="11" width="13.7109375" style="0" customWidth="1"/>
    <col min="12" max="12" width="21.28125" style="0" customWidth="1"/>
    <col min="13" max="21" width="13.7109375" style="0" customWidth="1"/>
  </cols>
  <sheetData>
    <row r="1" spans="1:21" ht="18.75">
      <c r="A1" s="53" t="s">
        <v>102</v>
      </c>
      <c r="B1" s="54"/>
      <c r="C1" s="75"/>
      <c r="D1" s="75"/>
      <c r="E1" s="75"/>
      <c r="F1" s="75"/>
      <c r="G1" s="75"/>
      <c r="H1" s="75"/>
      <c r="I1" s="75"/>
      <c r="J1" s="75"/>
      <c r="K1" s="75"/>
      <c r="L1" s="75"/>
      <c r="M1" s="75"/>
      <c r="N1" s="75"/>
      <c r="O1" s="75"/>
      <c r="P1" s="75"/>
      <c r="Q1" s="75"/>
      <c r="R1" s="75"/>
      <c r="S1" s="75"/>
      <c r="T1" s="75"/>
      <c r="U1" s="75"/>
    </row>
    <row r="2" spans="1:21" ht="18.75">
      <c r="A2" s="53" t="s">
        <v>2</v>
      </c>
      <c r="B2" s="54"/>
      <c r="C2" s="75"/>
      <c r="D2" s="75"/>
      <c r="E2" s="75"/>
      <c r="F2" s="75"/>
      <c r="G2" s="75"/>
      <c r="H2" s="75"/>
      <c r="I2" s="75"/>
      <c r="J2" s="75"/>
      <c r="K2" s="75"/>
      <c r="L2" s="75"/>
      <c r="M2" s="75"/>
      <c r="N2" s="75"/>
      <c r="O2" s="75"/>
      <c r="P2" s="75"/>
      <c r="Q2" s="75"/>
      <c r="R2" s="75"/>
      <c r="S2" s="75"/>
      <c r="T2" s="75"/>
      <c r="U2" s="75"/>
    </row>
    <row r="3" spans="1:21" ht="15.75">
      <c r="A3" s="137"/>
      <c r="B3" s="75"/>
      <c r="C3" s="75"/>
      <c r="D3" s="75"/>
      <c r="E3" s="75"/>
      <c r="F3" s="75"/>
      <c r="G3" s="75"/>
      <c r="H3" s="75"/>
      <c r="I3" s="75"/>
      <c r="J3" s="75"/>
      <c r="K3" s="75"/>
      <c r="L3" s="75"/>
      <c r="M3" s="75"/>
      <c r="N3" s="75"/>
      <c r="O3" s="75"/>
      <c r="P3" s="75"/>
      <c r="Q3" s="75"/>
      <c r="R3" s="75"/>
      <c r="S3" s="75"/>
      <c r="T3" s="75"/>
      <c r="U3" s="75"/>
    </row>
    <row r="4" spans="1:21" ht="15.75">
      <c r="A4" s="75"/>
      <c r="B4" s="75"/>
      <c r="C4" s="75"/>
      <c r="D4" s="75"/>
      <c r="E4" s="75"/>
      <c r="F4" s="75"/>
      <c r="G4" s="75"/>
      <c r="H4" s="75"/>
      <c r="I4" s="75"/>
      <c r="J4" s="75"/>
      <c r="K4" s="75"/>
      <c r="L4" s="75"/>
      <c r="M4" s="75"/>
      <c r="N4" s="75"/>
      <c r="O4" s="75"/>
      <c r="P4" s="75"/>
      <c r="Q4" s="75"/>
      <c r="R4" s="75"/>
      <c r="S4" s="75"/>
      <c r="T4" s="75"/>
      <c r="U4" s="75"/>
    </row>
    <row r="5" spans="1:21" ht="20.25">
      <c r="A5" s="864" t="s">
        <v>1350</v>
      </c>
      <c r="B5" s="864"/>
      <c r="C5" s="864"/>
      <c r="D5" s="864"/>
      <c r="E5" s="864"/>
      <c r="F5" s="864"/>
      <c r="G5" s="864"/>
      <c r="H5" s="864"/>
      <c r="I5" s="864"/>
      <c r="J5" s="864"/>
      <c r="K5" s="864"/>
      <c r="L5" s="864"/>
      <c r="M5" s="864"/>
      <c r="N5" s="864"/>
      <c r="O5" s="864"/>
      <c r="P5" s="864"/>
      <c r="Q5" s="864"/>
      <c r="R5" s="864"/>
      <c r="S5" s="864"/>
      <c r="T5" s="864"/>
      <c r="U5" s="864"/>
    </row>
    <row r="6" spans="1:21" ht="16.5" thickBot="1">
      <c r="A6" s="75"/>
      <c r="B6" s="75"/>
      <c r="C6" s="226"/>
      <c r="D6" s="226"/>
      <c r="E6" s="226"/>
      <c r="F6" s="226"/>
      <c r="G6" s="226"/>
      <c r="H6" s="226"/>
      <c r="I6" s="226"/>
      <c r="J6" s="226"/>
      <c r="K6" s="226"/>
      <c r="L6" s="226"/>
      <c r="M6" s="226"/>
      <c r="N6" s="75"/>
      <c r="O6" s="75"/>
      <c r="P6" s="75"/>
      <c r="Q6" s="75"/>
      <c r="R6" s="75"/>
      <c r="S6" s="75"/>
      <c r="T6" s="75"/>
      <c r="U6" s="75"/>
    </row>
    <row r="7" spans="1:21" ht="16.5" thickBot="1">
      <c r="A7" s="872" t="s">
        <v>1351</v>
      </c>
      <c r="B7" s="873" t="s">
        <v>1352</v>
      </c>
      <c r="C7" s="874" t="s">
        <v>1353</v>
      </c>
      <c r="D7" s="808" t="s">
        <v>1354</v>
      </c>
      <c r="E7" s="808" t="s">
        <v>1355</v>
      </c>
      <c r="F7" s="808" t="s">
        <v>1536</v>
      </c>
      <c r="G7" s="808" t="s">
        <v>1535</v>
      </c>
      <c r="H7" s="808" t="s">
        <v>1356</v>
      </c>
      <c r="I7" s="808" t="s">
        <v>1357</v>
      </c>
      <c r="J7" s="808" t="s">
        <v>1358</v>
      </c>
      <c r="K7" s="808" t="s">
        <v>1359</v>
      </c>
      <c r="L7" s="808" t="s">
        <v>1360</v>
      </c>
      <c r="M7" s="808" t="s">
        <v>1361</v>
      </c>
      <c r="N7" s="876" t="s">
        <v>1362</v>
      </c>
      <c r="O7" s="876"/>
      <c r="P7" s="876"/>
      <c r="Q7" s="876"/>
      <c r="R7" s="876"/>
      <c r="S7" s="876"/>
      <c r="T7" s="876"/>
      <c r="U7" s="876"/>
    </row>
    <row r="8" spans="1:21" ht="48" thickBot="1">
      <c r="A8" s="872"/>
      <c r="B8" s="873"/>
      <c r="C8" s="874"/>
      <c r="D8" s="808"/>
      <c r="E8" s="808"/>
      <c r="F8" s="808"/>
      <c r="G8" s="808"/>
      <c r="H8" s="808"/>
      <c r="I8" s="808"/>
      <c r="J8" s="808"/>
      <c r="K8" s="808"/>
      <c r="L8" s="808"/>
      <c r="M8" s="808"/>
      <c r="N8" s="227" t="s">
        <v>1363</v>
      </c>
      <c r="O8" s="227" t="s">
        <v>1364</v>
      </c>
      <c r="P8" s="227" t="s">
        <v>1365</v>
      </c>
      <c r="Q8" s="227" t="s">
        <v>1366</v>
      </c>
      <c r="R8" s="227" t="s">
        <v>1367</v>
      </c>
      <c r="S8" s="227" t="s">
        <v>1368</v>
      </c>
      <c r="T8" s="227" t="s">
        <v>1369</v>
      </c>
      <c r="U8" s="228" t="s">
        <v>1370</v>
      </c>
    </row>
    <row r="9" spans="1:21" ht="15.75">
      <c r="A9" s="229" t="s">
        <v>1371</v>
      </c>
      <c r="B9" s="230"/>
      <c r="C9" s="231"/>
      <c r="D9" s="231"/>
      <c r="E9" s="231"/>
      <c r="F9" s="231"/>
      <c r="G9" s="231"/>
      <c r="H9" s="231"/>
      <c r="I9" s="231"/>
      <c r="J9" s="231"/>
      <c r="K9" s="231"/>
      <c r="L9" s="231"/>
      <c r="M9" s="231"/>
      <c r="N9" s="231"/>
      <c r="O9" s="231"/>
      <c r="P9" s="231"/>
      <c r="Q9" s="231"/>
      <c r="R9" s="231"/>
      <c r="S9" s="231"/>
      <c r="T9" s="231"/>
      <c r="U9" s="232"/>
    </row>
    <row r="10" spans="1:21" ht="31.5">
      <c r="A10" s="168" t="s">
        <v>1372</v>
      </c>
      <c r="B10" s="153" t="s">
        <v>1373</v>
      </c>
      <c r="C10" s="233" t="s">
        <v>1374</v>
      </c>
      <c r="D10" s="210">
        <v>50000000</v>
      </c>
      <c r="E10" s="233" t="s">
        <v>1375</v>
      </c>
      <c r="F10" s="210">
        <v>34733286</v>
      </c>
      <c r="G10" s="210">
        <v>34733286</v>
      </c>
      <c r="H10" s="233">
        <v>2018</v>
      </c>
      <c r="I10" s="233">
        <v>5</v>
      </c>
      <c r="J10" s="233"/>
      <c r="K10" s="233" t="s">
        <v>1510</v>
      </c>
      <c r="L10" s="233" t="s">
        <v>1376</v>
      </c>
      <c r="M10" s="233">
        <v>12</v>
      </c>
      <c r="N10" s="210">
        <v>2328366</v>
      </c>
      <c r="O10" s="210">
        <v>4656732</v>
      </c>
      <c r="P10" s="210">
        <v>6985098</v>
      </c>
      <c r="Q10" s="210">
        <v>9313464</v>
      </c>
      <c r="R10" s="210">
        <v>573341</v>
      </c>
      <c r="S10" s="210">
        <v>1125632</v>
      </c>
      <c r="T10" s="210">
        <v>1644557</v>
      </c>
      <c r="U10" s="234">
        <v>2125424</v>
      </c>
    </row>
    <row r="11" spans="1:21" ht="15.75">
      <c r="A11" s="235" t="s">
        <v>1377</v>
      </c>
      <c r="B11" s="217"/>
      <c r="C11" s="217"/>
      <c r="D11" s="217"/>
      <c r="E11" s="217"/>
      <c r="F11" s="782"/>
      <c r="G11" s="782"/>
      <c r="H11" s="217"/>
      <c r="I11" s="217"/>
      <c r="J11" s="217"/>
      <c r="K11" s="217"/>
      <c r="L11" s="217"/>
      <c r="M11" s="217"/>
      <c r="N11" s="217"/>
      <c r="O11" s="217"/>
      <c r="P11" s="217"/>
      <c r="Q11" s="217"/>
      <c r="R11" s="217"/>
      <c r="S11" s="217"/>
      <c r="T11" s="217"/>
      <c r="U11" s="176"/>
    </row>
    <row r="12" spans="1:21" ht="15.75">
      <c r="A12" s="235" t="s">
        <v>1377</v>
      </c>
      <c r="B12" s="217"/>
      <c r="C12" s="217"/>
      <c r="D12" s="217"/>
      <c r="E12" s="217"/>
      <c r="F12" s="217"/>
      <c r="G12" s="217"/>
      <c r="H12" s="217"/>
      <c r="I12" s="217"/>
      <c r="J12" s="217"/>
      <c r="K12" s="217"/>
      <c r="L12" s="217"/>
      <c r="M12" s="217"/>
      <c r="N12" s="217"/>
      <c r="O12" s="217"/>
      <c r="P12" s="217"/>
      <c r="Q12" s="217"/>
      <c r="R12" s="217"/>
      <c r="S12" s="217"/>
      <c r="T12" s="217"/>
      <c r="U12" s="176"/>
    </row>
    <row r="13" spans="1:21" ht="15.75">
      <c r="A13" s="235" t="s">
        <v>1377</v>
      </c>
      <c r="B13" s="217"/>
      <c r="C13" s="217"/>
      <c r="D13" s="217"/>
      <c r="E13" s="217"/>
      <c r="F13" s="217"/>
      <c r="G13" s="217"/>
      <c r="H13" s="217"/>
      <c r="I13" s="217"/>
      <c r="J13" s="217"/>
      <c r="K13" s="217"/>
      <c r="L13" s="217"/>
      <c r="M13" s="217"/>
      <c r="N13" s="217"/>
      <c r="O13" s="217"/>
      <c r="P13" s="217"/>
      <c r="Q13" s="217"/>
      <c r="R13" s="217"/>
      <c r="S13" s="217"/>
      <c r="T13" s="217"/>
      <c r="U13" s="176"/>
    </row>
    <row r="14" spans="1:21" ht="15.75">
      <c r="A14" s="235" t="s">
        <v>1377</v>
      </c>
      <c r="B14" s="217"/>
      <c r="C14" s="217"/>
      <c r="D14" s="217"/>
      <c r="E14" s="217"/>
      <c r="F14" s="217"/>
      <c r="G14" s="217"/>
      <c r="H14" s="217"/>
      <c r="I14" s="217"/>
      <c r="J14" s="217"/>
      <c r="K14" s="217"/>
      <c r="L14" s="217"/>
      <c r="M14" s="217"/>
      <c r="N14" s="217"/>
      <c r="O14" s="217"/>
      <c r="P14" s="217"/>
      <c r="Q14" s="217"/>
      <c r="R14" s="217"/>
      <c r="S14" s="217"/>
      <c r="T14" s="217"/>
      <c r="U14" s="176"/>
    </row>
    <row r="15" spans="1:21" ht="15.75">
      <c r="A15" s="236" t="s">
        <v>1378</v>
      </c>
      <c r="B15" s="237"/>
      <c r="C15" s="217"/>
      <c r="D15" s="217"/>
      <c r="E15" s="217"/>
      <c r="F15" s="217"/>
      <c r="G15" s="217"/>
      <c r="H15" s="217"/>
      <c r="I15" s="217"/>
      <c r="J15" s="217"/>
      <c r="K15" s="217"/>
      <c r="L15" s="217"/>
      <c r="M15" s="217"/>
      <c r="N15" s="217"/>
      <c r="O15" s="217"/>
      <c r="P15" s="217"/>
      <c r="Q15" s="217"/>
      <c r="R15" s="217"/>
      <c r="S15" s="217"/>
      <c r="T15" s="217"/>
      <c r="U15" s="176"/>
    </row>
    <row r="16" spans="1:21" ht="15.75">
      <c r="A16" s="235" t="s">
        <v>1377</v>
      </c>
      <c r="B16" s="217"/>
      <c r="C16" s="217"/>
      <c r="D16" s="217"/>
      <c r="E16" s="217"/>
      <c r="F16" s="217"/>
      <c r="G16" s="217"/>
      <c r="H16" s="217"/>
      <c r="I16" s="217"/>
      <c r="J16" s="217"/>
      <c r="K16" s="217"/>
      <c r="L16" s="217"/>
      <c r="M16" s="217"/>
      <c r="N16" s="217"/>
      <c r="O16" s="217"/>
      <c r="P16" s="217"/>
      <c r="Q16" s="217"/>
      <c r="R16" s="217"/>
      <c r="S16" s="217"/>
      <c r="T16" s="217"/>
      <c r="U16" s="176"/>
    </row>
    <row r="17" spans="1:21" ht="15.75">
      <c r="A17" s="235" t="s">
        <v>1377</v>
      </c>
      <c r="B17" s="217"/>
      <c r="C17" s="217"/>
      <c r="D17" s="217"/>
      <c r="E17" s="217"/>
      <c r="F17" s="217"/>
      <c r="G17" s="217"/>
      <c r="H17" s="217"/>
      <c r="I17" s="217"/>
      <c r="J17" s="217"/>
      <c r="K17" s="217"/>
      <c r="L17" s="217"/>
      <c r="M17" s="217"/>
      <c r="N17" s="217"/>
      <c r="O17" s="217"/>
      <c r="P17" s="217"/>
      <c r="Q17" s="217"/>
      <c r="R17" s="217"/>
      <c r="S17" s="217"/>
      <c r="T17" s="217"/>
      <c r="U17" s="176"/>
    </row>
    <row r="18" spans="1:21" ht="15.75">
      <c r="A18" s="235" t="s">
        <v>1377</v>
      </c>
      <c r="B18" s="217"/>
      <c r="C18" s="217"/>
      <c r="D18" s="217"/>
      <c r="E18" s="217"/>
      <c r="F18" s="217"/>
      <c r="G18" s="217"/>
      <c r="H18" s="217"/>
      <c r="I18" s="217"/>
      <c r="J18" s="217"/>
      <c r="K18" s="217"/>
      <c r="L18" s="217"/>
      <c r="M18" s="217"/>
      <c r="N18" s="217"/>
      <c r="O18" s="217"/>
      <c r="P18" s="217"/>
      <c r="Q18" s="217"/>
      <c r="R18" s="217"/>
      <c r="S18" s="217"/>
      <c r="T18" s="217"/>
      <c r="U18" s="176"/>
    </row>
    <row r="19" spans="1:21" ht="15.75">
      <c r="A19" s="235" t="s">
        <v>1377</v>
      </c>
      <c r="B19" s="217"/>
      <c r="C19" s="217"/>
      <c r="D19" s="217"/>
      <c r="E19" s="217"/>
      <c r="F19" s="217"/>
      <c r="G19" s="217"/>
      <c r="H19" s="217"/>
      <c r="I19" s="217"/>
      <c r="J19" s="217"/>
      <c r="K19" s="217"/>
      <c r="L19" s="217"/>
      <c r="M19" s="217"/>
      <c r="N19" s="217"/>
      <c r="O19" s="217"/>
      <c r="P19" s="217"/>
      <c r="Q19" s="217"/>
      <c r="R19" s="217"/>
      <c r="S19" s="217"/>
      <c r="T19" s="217"/>
      <c r="U19" s="176"/>
    </row>
    <row r="20" spans="1:21" ht="15.75">
      <c r="A20" s="235" t="s">
        <v>1377</v>
      </c>
      <c r="B20" s="217"/>
      <c r="C20" s="217"/>
      <c r="D20" s="217"/>
      <c r="E20" s="217"/>
      <c r="F20" s="217"/>
      <c r="G20" s="217"/>
      <c r="H20" s="217"/>
      <c r="I20" s="217"/>
      <c r="J20" s="217"/>
      <c r="K20" s="217"/>
      <c r="L20" s="217"/>
      <c r="M20" s="217"/>
      <c r="N20" s="217"/>
      <c r="O20" s="217"/>
      <c r="P20" s="217"/>
      <c r="Q20" s="217"/>
      <c r="R20" s="217"/>
      <c r="S20" s="217"/>
      <c r="T20" s="217"/>
      <c r="U20" s="176"/>
    </row>
    <row r="21" spans="1:21" ht="16.5" thickBot="1">
      <c r="A21" s="238" t="s">
        <v>1379</v>
      </c>
      <c r="B21" s="239"/>
      <c r="C21" s="221"/>
      <c r="D21" s="221"/>
      <c r="E21" s="221"/>
      <c r="F21" s="221"/>
      <c r="G21" s="221"/>
      <c r="H21" s="221"/>
      <c r="I21" s="221"/>
      <c r="J21" s="221"/>
      <c r="K21" s="221"/>
      <c r="L21" s="221"/>
      <c r="M21" s="221"/>
      <c r="N21" s="221"/>
      <c r="O21" s="221"/>
      <c r="P21" s="221"/>
      <c r="Q21" s="221"/>
      <c r="R21" s="221"/>
      <c r="S21" s="221"/>
      <c r="T21" s="221"/>
      <c r="U21" s="179"/>
    </row>
    <row r="22" spans="1:21" ht="16.5" thickBot="1">
      <c r="A22" s="240" t="s">
        <v>1380</v>
      </c>
      <c r="B22" s="241"/>
      <c r="C22" s="172"/>
      <c r="D22" s="172"/>
      <c r="E22" s="172"/>
      <c r="F22" s="172"/>
      <c r="G22" s="172"/>
      <c r="H22" s="172"/>
      <c r="I22" s="172"/>
      <c r="J22" s="172"/>
      <c r="K22" s="172"/>
      <c r="L22" s="172"/>
      <c r="M22" s="172"/>
      <c r="N22" s="172"/>
      <c r="O22" s="172"/>
      <c r="P22" s="75"/>
      <c r="Q22" s="75"/>
      <c r="R22" s="75"/>
      <c r="S22" s="75"/>
      <c r="T22" s="75"/>
      <c r="U22" s="75"/>
    </row>
    <row r="23" spans="1:21" ht="16.5" thickBot="1">
      <c r="A23" s="242" t="s">
        <v>1381</v>
      </c>
      <c r="B23" s="243"/>
      <c r="C23" s="172"/>
      <c r="D23" s="172"/>
      <c r="E23" s="172"/>
      <c r="F23" s="172"/>
      <c r="G23" s="172"/>
      <c r="H23" s="172"/>
      <c r="I23" s="172"/>
      <c r="J23" s="172"/>
      <c r="K23" s="172"/>
      <c r="L23" s="172"/>
      <c r="M23" s="172"/>
      <c r="N23" s="172"/>
      <c r="O23" s="172"/>
      <c r="P23" s="75"/>
      <c r="Q23" s="75"/>
      <c r="R23" s="75"/>
      <c r="S23" s="75"/>
      <c r="T23" s="75"/>
      <c r="U23" s="75"/>
    </row>
    <row r="24" spans="1:21" ht="15.75">
      <c r="A24" s="75"/>
      <c r="B24" s="75"/>
      <c r="C24" s="75"/>
      <c r="D24" s="75"/>
      <c r="E24" s="75"/>
      <c r="F24" s="75"/>
      <c r="G24" s="75"/>
      <c r="H24" s="75"/>
      <c r="I24" s="75"/>
      <c r="J24" s="75"/>
      <c r="K24" s="75"/>
      <c r="L24" s="75"/>
      <c r="M24" s="75"/>
      <c r="N24" s="75"/>
      <c r="O24" s="75"/>
      <c r="P24" s="75"/>
      <c r="Q24" s="75"/>
      <c r="R24" s="75"/>
      <c r="S24" s="75"/>
      <c r="T24" s="75"/>
      <c r="U24" s="75"/>
    </row>
    <row r="25" spans="1:21" ht="15.75">
      <c r="A25" s="244" t="s">
        <v>1382</v>
      </c>
      <c r="B25" s="877"/>
      <c r="C25" s="877"/>
      <c r="D25" s="877"/>
      <c r="E25" s="877"/>
      <c r="F25" s="877"/>
      <c r="G25" s="877"/>
      <c r="H25" s="877"/>
      <c r="I25" s="877"/>
      <c r="J25" s="877"/>
      <c r="K25" s="877"/>
      <c r="L25" s="877"/>
      <c r="M25" s="877"/>
      <c r="N25" s="877"/>
      <c r="O25" s="877"/>
      <c r="P25" s="877"/>
      <c r="Q25" s="877"/>
      <c r="R25" s="877"/>
      <c r="S25" s="877"/>
      <c r="T25" s="877"/>
      <c r="U25" s="877"/>
    </row>
    <row r="26" spans="1:21" ht="15.75">
      <c r="A26" s="137"/>
      <c r="B26" s="137"/>
      <c r="C26" s="137"/>
      <c r="D26" s="137"/>
      <c r="E26" s="137"/>
      <c r="F26" s="137"/>
      <c r="G26" s="75"/>
      <c r="H26" s="75"/>
      <c r="I26" s="75"/>
      <c r="J26" s="75"/>
      <c r="K26" s="75"/>
      <c r="L26" s="75"/>
      <c r="M26" s="75"/>
      <c r="N26" s="75"/>
      <c r="O26" s="75"/>
      <c r="P26" s="75"/>
      <c r="Q26" s="75"/>
      <c r="R26" s="75"/>
      <c r="S26" s="75"/>
      <c r="T26" s="75"/>
      <c r="U26" s="75"/>
    </row>
    <row r="27" spans="1:21" ht="15.75">
      <c r="A27" s="137"/>
      <c r="B27" s="137"/>
      <c r="C27" s="137"/>
      <c r="D27" s="137"/>
      <c r="E27" s="137"/>
      <c r="F27" s="137"/>
      <c r="G27" s="75"/>
      <c r="H27" s="75"/>
      <c r="I27" s="75"/>
      <c r="J27" s="75"/>
      <c r="K27" s="75"/>
      <c r="L27" s="75"/>
      <c r="M27" s="75"/>
      <c r="N27" s="75"/>
      <c r="O27" s="75"/>
      <c r="P27" s="75"/>
      <c r="Q27" s="75"/>
      <c r="R27" s="75"/>
      <c r="S27" s="75"/>
      <c r="T27" s="75"/>
      <c r="U27" s="75"/>
    </row>
    <row r="28" spans="1:21" ht="15.75">
      <c r="A28" s="75"/>
      <c r="B28" s="75"/>
      <c r="C28" s="75"/>
      <c r="D28" s="75"/>
      <c r="E28" s="75"/>
      <c r="F28" s="75"/>
      <c r="G28" s="75"/>
      <c r="H28" s="75"/>
      <c r="I28" s="75"/>
      <c r="J28" s="75"/>
      <c r="K28" s="75"/>
      <c r="L28" s="75"/>
      <c r="M28" s="75"/>
      <c r="N28" s="75"/>
      <c r="O28" s="75"/>
      <c r="P28" s="75"/>
      <c r="Q28" s="75"/>
      <c r="R28" s="75"/>
      <c r="S28" s="75"/>
      <c r="T28" s="75"/>
      <c r="U28" s="75"/>
    </row>
    <row r="29" spans="1:21" ht="15.75">
      <c r="A29" s="875" t="s">
        <v>1544</v>
      </c>
      <c r="B29" s="875"/>
      <c r="C29" s="75"/>
      <c r="D29" s="55"/>
      <c r="E29" s="55"/>
      <c r="F29" s="245" t="s">
        <v>1383</v>
      </c>
      <c r="G29" s="75"/>
      <c r="H29" s="75"/>
      <c r="I29" s="75"/>
      <c r="J29" s="75"/>
      <c r="K29" s="75"/>
      <c r="L29" s="75"/>
      <c r="M29" s="75"/>
      <c r="N29" s="75"/>
      <c r="O29" s="75"/>
      <c r="P29" s="75"/>
      <c r="Q29" s="75"/>
      <c r="R29" s="75"/>
      <c r="S29" s="1"/>
      <c r="T29" s="75"/>
      <c r="U29" s="75"/>
    </row>
  </sheetData>
  <sheetProtection/>
  <mergeCells count="17">
    <mergeCell ref="A29:B29"/>
    <mergeCell ref="J7:J8"/>
    <mergeCell ref="K7:K8"/>
    <mergeCell ref="L7:L8"/>
    <mergeCell ref="M7:M8"/>
    <mergeCell ref="N7:U7"/>
    <mergeCell ref="B25:U25"/>
    <mergeCell ref="A5:U5"/>
    <mergeCell ref="A7:A8"/>
    <mergeCell ref="B7:B8"/>
    <mergeCell ref="C7:C8"/>
    <mergeCell ref="D7:D8"/>
    <mergeCell ref="E7:E8"/>
    <mergeCell ref="F7:F8"/>
    <mergeCell ref="G7:G8"/>
    <mergeCell ref="H7:H8"/>
    <mergeCell ref="I7:I8"/>
  </mergeCells>
  <printOptions/>
  <pageMargins left="0.11811023622047245" right="0.11811023622047245" top="0.7480314960629921" bottom="0.7480314960629921" header="0.31496062992125984" footer="0.31496062992125984"/>
  <pageSetup fitToHeight="0" fitToWidth="1" horizontalDpi="600" verticalDpi="600" orientation="landscape" paperSize="9" scale="39" r:id="rId1"/>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F40"/>
  <sheetViews>
    <sheetView zoomScale="70" zoomScaleNormal="70" zoomScalePageLayoutView="0" workbookViewId="0" topLeftCell="A10">
      <selection activeCell="F30" sqref="F30"/>
    </sheetView>
  </sheetViews>
  <sheetFormatPr defaultColWidth="9.140625" defaultRowHeight="15"/>
  <cols>
    <col min="1" max="1" width="21.7109375" style="0" customWidth="1"/>
    <col min="2" max="2" width="28.7109375" style="0" customWidth="1"/>
    <col min="3" max="3" width="60.57421875" style="0" customWidth="1"/>
    <col min="4" max="6" width="50.7109375" style="0" customWidth="1"/>
  </cols>
  <sheetData>
    <row r="1" spans="1:6" ht="20.25">
      <c r="A1" s="246"/>
      <c r="B1" s="247"/>
      <c r="C1" s="246"/>
      <c r="D1" s="246"/>
      <c r="E1" s="246"/>
      <c r="F1" s="246"/>
    </row>
    <row r="2" spans="1:6" ht="20.25">
      <c r="A2" s="53" t="s">
        <v>102</v>
      </c>
      <c r="B2" s="54"/>
      <c r="C2" s="248"/>
      <c r="D2" s="248"/>
      <c r="E2" s="248"/>
      <c r="F2" s="248"/>
    </row>
    <row r="3" spans="1:6" ht="20.25">
      <c r="A3" s="53" t="s">
        <v>2</v>
      </c>
      <c r="B3" s="54"/>
      <c r="C3" s="248"/>
      <c r="D3" s="248"/>
      <c r="E3" s="248"/>
      <c r="F3" s="249" t="s">
        <v>1384</v>
      </c>
    </row>
    <row r="4" spans="1:6" ht="20.25">
      <c r="A4" s="250"/>
      <c r="B4" s="251"/>
      <c r="C4" s="248"/>
      <c r="D4" s="248"/>
      <c r="E4" s="248"/>
      <c r="F4" s="248"/>
    </row>
    <row r="5" spans="1:6" ht="20.25">
      <c r="A5" s="250"/>
      <c r="B5" s="251"/>
      <c r="C5" s="248"/>
      <c r="D5" s="248"/>
      <c r="E5" s="248"/>
      <c r="F5" s="248"/>
    </row>
    <row r="6" spans="1:6" ht="20.25">
      <c r="A6" s="246"/>
      <c r="B6" s="247"/>
      <c r="C6" s="246"/>
      <c r="D6" s="246"/>
      <c r="E6" s="246"/>
      <c r="F6" s="246"/>
    </row>
    <row r="7" spans="1:6" ht="30">
      <c r="A7" s="878" t="s">
        <v>1385</v>
      </c>
      <c r="B7" s="878"/>
      <c r="C7" s="878"/>
      <c r="D7" s="878"/>
      <c r="E7" s="878"/>
      <c r="F7" s="878"/>
    </row>
    <row r="8" spans="1:6" ht="21" thickBot="1">
      <c r="A8" s="246"/>
      <c r="B8" s="247"/>
      <c r="C8" s="246"/>
      <c r="D8" s="246"/>
      <c r="E8" s="246"/>
      <c r="F8" s="246"/>
    </row>
    <row r="9" spans="1:6" ht="41.25" thickBot="1">
      <c r="A9" s="252" t="s">
        <v>1386</v>
      </c>
      <c r="B9" s="253" t="s">
        <v>105</v>
      </c>
      <c r="C9" s="254" t="s">
        <v>1387</v>
      </c>
      <c r="D9" s="254" t="s">
        <v>1388</v>
      </c>
      <c r="E9" s="254" t="s">
        <v>1389</v>
      </c>
      <c r="F9" s="255" t="s">
        <v>1390</v>
      </c>
    </row>
    <row r="10" spans="1:6" ht="20.25">
      <c r="A10" s="256">
        <v>1</v>
      </c>
      <c r="B10" s="257">
        <v>2</v>
      </c>
      <c r="C10" s="258">
        <v>3</v>
      </c>
      <c r="D10" s="258">
        <v>4</v>
      </c>
      <c r="E10" s="258">
        <v>5</v>
      </c>
      <c r="F10" s="259">
        <v>6</v>
      </c>
    </row>
    <row r="11" spans="1:6" ht="21" thickBot="1">
      <c r="A11" s="879" t="s">
        <v>1502</v>
      </c>
      <c r="B11" s="260" t="s">
        <v>291</v>
      </c>
      <c r="C11" s="261" t="s">
        <v>1391</v>
      </c>
      <c r="D11" s="262" t="s">
        <v>1372</v>
      </c>
      <c r="E11" s="263">
        <v>4853.01</v>
      </c>
      <c r="F11" s="263">
        <v>4853.01</v>
      </c>
    </row>
    <row r="12" spans="1:6" ht="21" thickBot="1">
      <c r="A12" s="879"/>
      <c r="B12" s="260" t="s">
        <v>291</v>
      </c>
      <c r="C12" s="261" t="s">
        <v>1391</v>
      </c>
      <c r="D12" s="262" t="s">
        <v>1372</v>
      </c>
      <c r="E12" s="263">
        <v>21430871.39</v>
      </c>
      <c r="F12" s="263">
        <v>21430871.39</v>
      </c>
    </row>
    <row r="13" spans="1:6" ht="21" thickBot="1">
      <c r="A13" s="879"/>
      <c r="B13" s="260" t="s">
        <v>291</v>
      </c>
      <c r="C13" s="261" t="s">
        <v>1391</v>
      </c>
      <c r="D13" s="262" t="s">
        <v>1392</v>
      </c>
      <c r="E13" s="263">
        <v>20.08</v>
      </c>
      <c r="F13" s="263">
        <v>20.08</v>
      </c>
    </row>
    <row r="14" spans="1:6" ht="21" thickBot="1">
      <c r="A14" s="879"/>
      <c r="B14" s="264" t="s">
        <v>291</v>
      </c>
      <c r="C14" s="261" t="s">
        <v>1391</v>
      </c>
      <c r="D14" s="262" t="s">
        <v>1393</v>
      </c>
      <c r="E14" s="263">
        <v>131274695.52</v>
      </c>
      <c r="F14" s="263">
        <v>131274695.52</v>
      </c>
    </row>
    <row r="15" spans="1:6" ht="21" thickBot="1">
      <c r="A15" s="879"/>
      <c r="B15" s="265" t="s">
        <v>1394</v>
      </c>
      <c r="C15" s="266"/>
      <c r="D15" s="266"/>
      <c r="E15" s="267">
        <f>SUM(E11:E14)</f>
        <v>152710440</v>
      </c>
      <c r="F15" s="267">
        <f>SUM(F11:F14)</f>
        <v>152710440</v>
      </c>
    </row>
    <row r="16" spans="1:6" ht="21" thickBot="1">
      <c r="A16" s="880" t="s">
        <v>1492</v>
      </c>
      <c r="B16" s="268" t="s">
        <v>291</v>
      </c>
      <c r="C16" s="261" t="s">
        <v>1391</v>
      </c>
      <c r="D16" s="262" t="s">
        <v>1372</v>
      </c>
      <c r="E16" s="269">
        <v>27322.51</v>
      </c>
      <c r="F16" s="269">
        <v>27322.51</v>
      </c>
    </row>
    <row r="17" spans="1:6" ht="21" thickBot="1">
      <c r="A17" s="880"/>
      <c r="B17" s="260" t="s">
        <v>291</v>
      </c>
      <c r="C17" s="261" t="s">
        <v>1391</v>
      </c>
      <c r="D17" s="262" t="s">
        <v>1372</v>
      </c>
      <c r="E17" s="270">
        <v>2375289.51</v>
      </c>
      <c r="F17" s="270">
        <v>2375289.51</v>
      </c>
    </row>
    <row r="18" spans="1:6" ht="21" thickBot="1">
      <c r="A18" s="880"/>
      <c r="B18" s="260" t="s">
        <v>291</v>
      </c>
      <c r="C18" s="261" t="s">
        <v>1391</v>
      </c>
      <c r="D18" s="262" t="s">
        <v>1392</v>
      </c>
      <c r="E18" s="270">
        <v>96.17</v>
      </c>
      <c r="F18" s="270">
        <v>96.17</v>
      </c>
    </row>
    <row r="19" spans="1:6" ht="21" thickBot="1">
      <c r="A19" s="880"/>
      <c r="B19" s="264" t="s">
        <v>291</v>
      </c>
      <c r="C19" s="271" t="s">
        <v>1391</v>
      </c>
      <c r="D19" s="272" t="s">
        <v>1393</v>
      </c>
      <c r="E19" s="273">
        <v>86013485.55</v>
      </c>
      <c r="F19" s="273">
        <v>86013485.55</v>
      </c>
    </row>
    <row r="20" spans="1:6" ht="21" thickBot="1">
      <c r="A20" s="880"/>
      <c r="B20" s="277" t="s">
        <v>1394</v>
      </c>
      <c r="C20" s="278"/>
      <c r="D20" s="278"/>
      <c r="E20" s="279">
        <f>SUM(E16:E19)</f>
        <v>88416193.74</v>
      </c>
      <c r="F20" s="279">
        <f>SUM(F16:F19)</f>
        <v>88416193.74</v>
      </c>
    </row>
    <row r="21" spans="1:6" ht="21" thickBot="1">
      <c r="A21" s="880" t="s">
        <v>1503</v>
      </c>
      <c r="B21" s="280" t="s">
        <v>291</v>
      </c>
      <c r="C21" s="261" t="s">
        <v>1391</v>
      </c>
      <c r="D21" s="262" t="s">
        <v>1372</v>
      </c>
      <c r="E21" s="342">
        <v>79769.01</v>
      </c>
      <c r="F21" s="342">
        <v>79769.01</v>
      </c>
    </row>
    <row r="22" spans="1:6" ht="21" thickBot="1">
      <c r="A22" s="880"/>
      <c r="B22" s="281" t="s">
        <v>291</v>
      </c>
      <c r="C22" s="261" t="s">
        <v>1391</v>
      </c>
      <c r="D22" s="262" t="s">
        <v>1372</v>
      </c>
      <c r="E22" s="263">
        <v>7600454.57</v>
      </c>
      <c r="F22" s="263">
        <v>7600454.57</v>
      </c>
    </row>
    <row r="23" spans="1:6" ht="21" thickBot="1">
      <c r="A23" s="880"/>
      <c r="B23" s="281" t="s">
        <v>291</v>
      </c>
      <c r="C23" s="261" t="s">
        <v>1391</v>
      </c>
      <c r="D23" s="262" t="s">
        <v>1392</v>
      </c>
      <c r="E23" s="343">
        <v>4166.18</v>
      </c>
      <c r="F23" s="343">
        <v>4166.18</v>
      </c>
    </row>
    <row r="24" spans="1:6" ht="21" thickBot="1">
      <c r="A24" s="880"/>
      <c r="B24" s="339" t="s">
        <v>291</v>
      </c>
      <c r="C24" s="271" t="s">
        <v>1391</v>
      </c>
      <c r="D24" s="272" t="s">
        <v>1393</v>
      </c>
      <c r="E24" s="344">
        <v>58437571.17</v>
      </c>
      <c r="F24" s="344">
        <v>58437571.17</v>
      </c>
    </row>
    <row r="25" spans="1:6" ht="21" thickBot="1">
      <c r="A25" s="880"/>
      <c r="B25" s="339" t="s">
        <v>291</v>
      </c>
      <c r="C25" s="275" t="s">
        <v>1391</v>
      </c>
      <c r="D25" s="276" t="s">
        <v>1395</v>
      </c>
      <c r="E25" s="344"/>
      <c r="F25" s="344"/>
    </row>
    <row r="26" spans="1:6" ht="21" thickBot="1">
      <c r="A26" s="880"/>
      <c r="B26" s="340" t="s">
        <v>1394</v>
      </c>
      <c r="C26" s="341"/>
      <c r="D26" s="341"/>
      <c r="E26" s="345">
        <f>SUM(E21:E25)</f>
        <v>66121960.93</v>
      </c>
      <c r="F26" s="345">
        <f>SUM(F21:F25)</f>
        <v>66121960.93</v>
      </c>
    </row>
    <row r="27" spans="1:6" ht="21" thickBot="1">
      <c r="A27" s="880" t="s">
        <v>1504</v>
      </c>
      <c r="B27" s="268" t="s">
        <v>291</v>
      </c>
      <c r="C27" s="261" t="s">
        <v>1391</v>
      </c>
      <c r="D27" s="262" t="s">
        <v>1372</v>
      </c>
      <c r="E27" s="342">
        <v>79769.01</v>
      </c>
      <c r="F27" s="342">
        <v>79769.01</v>
      </c>
    </row>
    <row r="28" spans="1:6" ht="21" thickBot="1">
      <c r="A28" s="880"/>
      <c r="B28" s="260" t="s">
        <v>291</v>
      </c>
      <c r="C28" s="261" t="s">
        <v>1391</v>
      </c>
      <c r="D28" s="262" t="s">
        <v>1372</v>
      </c>
      <c r="E28" s="263">
        <v>16618613.11</v>
      </c>
      <c r="F28" s="263">
        <v>16618613.11</v>
      </c>
    </row>
    <row r="29" spans="1:6" ht="21" thickBot="1">
      <c r="A29" s="880"/>
      <c r="B29" s="260" t="s">
        <v>291</v>
      </c>
      <c r="C29" s="261" t="s">
        <v>1391</v>
      </c>
      <c r="D29" s="424" t="s">
        <v>1392</v>
      </c>
      <c r="E29" s="263">
        <v>341069.15</v>
      </c>
      <c r="F29" s="263">
        <v>341069.15</v>
      </c>
    </row>
    <row r="30" spans="1:6" ht="21" thickBot="1">
      <c r="A30" s="880"/>
      <c r="B30" s="264" t="s">
        <v>291</v>
      </c>
      <c r="C30" s="271" t="s">
        <v>1391</v>
      </c>
      <c r="D30" s="425" t="s">
        <v>1393</v>
      </c>
      <c r="E30" s="263">
        <v>39646033.2</v>
      </c>
      <c r="F30" s="263">
        <v>39646033.2</v>
      </c>
    </row>
    <row r="31" spans="1:6" ht="21" thickBot="1">
      <c r="A31" s="880"/>
      <c r="B31" s="264" t="s">
        <v>291</v>
      </c>
      <c r="C31" s="275" t="s">
        <v>1391</v>
      </c>
      <c r="D31" s="426" t="s">
        <v>1395</v>
      </c>
      <c r="E31" s="263">
        <v>-341000</v>
      </c>
      <c r="F31" s="263">
        <v>-341000</v>
      </c>
    </row>
    <row r="32" spans="1:6" ht="21" thickBot="1">
      <c r="A32" s="880"/>
      <c r="B32" s="265" t="s">
        <v>1394</v>
      </c>
      <c r="C32" s="346"/>
      <c r="D32" s="346"/>
      <c r="E32" s="428">
        <f>SUM(E27:E31)</f>
        <v>56344484.47</v>
      </c>
      <c r="F32" s="429">
        <f>SUM(F27:F31)</f>
        <v>56344484.47</v>
      </c>
    </row>
    <row r="33" spans="1:6" ht="21" thickBot="1">
      <c r="A33" s="880" t="s">
        <v>1505</v>
      </c>
      <c r="B33" s="280" t="s">
        <v>291</v>
      </c>
      <c r="C33" s="261" t="s">
        <v>1391</v>
      </c>
      <c r="D33" s="262" t="s">
        <v>1372</v>
      </c>
      <c r="E33" s="427"/>
      <c r="F33" s="427"/>
    </row>
    <row r="34" spans="1:6" ht="21" thickBot="1">
      <c r="A34" s="880"/>
      <c r="B34" s="260" t="s">
        <v>291</v>
      </c>
      <c r="C34" s="261" t="s">
        <v>1391</v>
      </c>
      <c r="D34" s="262" t="s">
        <v>1372</v>
      </c>
      <c r="E34" s="263"/>
      <c r="F34" s="263"/>
    </row>
    <row r="35" spans="1:6" ht="21" thickBot="1">
      <c r="A35" s="880"/>
      <c r="B35" s="264" t="s">
        <v>291</v>
      </c>
      <c r="C35" s="261" t="s">
        <v>1391</v>
      </c>
      <c r="D35" s="424" t="s">
        <v>1392</v>
      </c>
      <c r="E35" s="343"/>
      <c r="F35" s="343"/>
    </row>
    <row r="36" spans="1:6" ht="21" thickBot="1">
      <c r="A36" s="881"/>
      <c r="B36" s="274" t="s">
        <v>291</v>
      </c>
      <c r="C36" s="271" t="s">
        <v>1391</v>
      </c>
      <c r="D36" s="425" t="s">
        <v>1393</v>
      </c>
      <c r="E36" s="344"/>
      <c r="F36" s="344"/>
    </row>
    <row r="37" spans="1:6" ht="21" thickBot="1">
      <c r="A37" s="880"/>
      <c r="B37" s="461" t="s">
        <v>1394</v>
      </c>
      <c r="C37" s="347"/>
      <c r="D37" s="347"/>
      <c r="E37" s="462">
        <f>SUM(E33:E36)</f>
        <v>0</v>
      </c>
      <c r="F37" s="462">
        <f>SUM(F33:F36)</f>
        <v>0</v>
      </c>
    </row>
    <row r="38" spans="1:6" ht="20.25">
      <c r="A38" s="246"/>
      <c r="B38" s="247"/>
      <c r="C38" s="246"/>
      <c r="D38" s="246"/>
      <c r="E38" s="246"/>
      <c r="F38" s="246"/>
    </row>
    <row r="39" spans="1:6" ht="22.5" customHeight="1">
      <c r="A39" s="75" t="s">
        <v>1542</v>
      </c>
      <c r="B39" s="75"/>
      <c r="C39" s="75"/>
      <c r="D39" s="75"/>
      <c r="E39" s="182" t="s">
        <v>1396</v>
      </c>
      <c r="F39" s="182"/>
    </row>
    <row r="40" spans="1:6" ht="15.75">
      <c r="A40" s="75"/>
      <c r="B40" s="430"/>
      <c r="C40" s="75"/>
      <c r="D40" s="76" t="s">
        <v>492</v>
      </c>
      <c r="E40" s="75"/>
      <c r="F40" s="75"/>
    </row>
  </sheetData>
  <sheetProtection/>
  <mergeCells count="6">
    <mergeCell ref="A7:F7"/>
    <mergeCell ref="A11:A15"/>
    <mergeCell ref="A16:A20"/>
    <mergeCell ref="A21:A26"/>
    <mergeCell ref="A27:A32"/>
    <mergeCell ref="A33:A37"/>
  </mergeCells>
  <printOptions/>
  <pageMargins left="0.7" right="0.7" top="0.75" bottom="0.75" header="0.3" footer="0.3"/>
  <pageSetup fitToHeight="0" fitToWidth="1" horizontalDpi="600" verticalDpi="600" orientation="landscape" scale="46" r:id="rId1"/>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L31"/>
  <sheetViews>
    <sheetView zoomScale="85" zoomScaleNormal="85" zoomScalePageLayoutView="0" workbookViewId="0" topLeftCell="A1">
      <selection activeCell="C31" sqref="C31"/>
    </sheetView>
  </sheetViews>
  <sheetFormatPr defaultColWidth="9.140625" defaultRowHeight="15"/>
  <cols>
    <col min="1" max="1" width="21.7109375" style="0" customWidth="1"/>
    <col min="2" max="2" width="28.7109375" style="0" customWidth="1"/>
    <col min="3" max="3" width="24.140625" style="0" customWidth="1"/>
    <col min="4" max="4" width="26.140625" style="0" customWidth="1"/>
    <col min="5" max="5" width="22.00390625" style="0" customWidth="1"/>
    <col min="6" max="6" width="24.8515625" style="0" customWidth="1"/>
    <col min="7" max="12" width="13.7109375" style="0" customWidth="1"/>
  </cols>
  <sheetData>
    <row r="1" spans="1:12" ht="18.75">
      <c r="A1" s="53" t="s">
        <v>102</v>
      </c>
      <c r="B1" s="54"/>
      <c r="C1" s="282"/>
      <c r="D1" s="282"/>
      <c r="E1" s="282"/>
      <c r="F1" s="282"/>
      <c r="G1" s="282"/>
      <c r="H1" s="282"/>
      <c r="I1" s="282"/>
      <c r="J1" s="282"/>
      <c r="K1" s="282"/>
      <c r="L1" s="283" t="s">
        <v>1397</v>
      </c>
    </row>
    <row r="2" spans="1:12" ht="18.75">
      <c r="A2" s="53" t="s">
        <v>2</v>
      </c>
      <c r="B2" s="54"/>
      <c r="C2" s="282"/>
      <c r="D2" s="282"/>
      <c r="E2" s="282"/>
      <c r="F2" s="282"/>
      <c r="G2" s="282"/>
      <c r="H2" s="282"/>
      <c r="I2" s="282"/>
      <c r="J2" s="282"/>
      <c r="K2" s="282"/>
      <c r="L2" s="282"/>
    </row>
    <row r="3" spans="1:12" ht="15.75">
      <c r="A3" s="883" t="s">
        <v>1398</v>
      </c>
      <c r="B3" s="883"/>
      <c r="C3" s="883"/>
      <c r="D3" s="883"/>
      <c r="E3" s="883"/>
      <c r="F3" s="883"/>
      <c r="G3" s="883"/>
      <c r="H3" s="883"/>
      <c r="I3" s="883"/>
      <c r="J3" s="883"/>
      <c r="K3" s="883"/>
      <c r="L3" s="883"/>
    </row>
    <row r="4" spans="1:12" ht="15.75">
      <c r="A4" s="282"/>
      <c r="B4" s="282"/>
      <c r="C4" s="282"/>
      <c r="D4" s="282"/>
      <c r="E4" s="282"/>
      <c r="F4" s="282"/>
      <c r="G4" s="282"/>
      <c r="H4" s="282"/>
      <c r="I4" s="282"/>
      <c r="J4" s="282"/>
      <c r="K4" s="282"/>
      <c r="L4" s="282"/>
    </row>
    <row r="5" spans="1:12" ht="16.5" thickBot="1">
      <c r="A5" s="284"/>
      <c r="B5" s="284"/>
      <c r="C5" s="284"/>
      <c r="D5" s="284"/>
      <c r="E5" s="284"/>
      <c r="F5" s="284"/>
      <c r="G5" s="284" t="s">
        <v>1399</v>
      </c>
      <c r="H5" s="282"/>
      <c r="I5" s="282"/>
      <c r="J5" s="282"/>
      <c r="K5" s="282"/>
      <c r="L5" s="282"/>
    </row>
    <row r="6" spans="1:12" ht="95.25" thickBot="1">
      <c r="A6" s="285" t="s">
        <v>1400</v>
      </c>
      <c r="B6" s="286" t="s">
        <v>1401</v>
      </c>
      <c r="C6" s="287" t="s">
        <v>1402</v>
      </c>
      <c r="D6" s="287" t="s">
        <v>1403</v>
      </c>
      <c r="E6" s="287" t="s">
        <v>1404</v>
      </c>
      <c r="F6" s="287" t="s">
        <v>1405</v>
      </c>
      <c r="G6" s="286" t="s">
        <v>1406</v>
      </c>
      <c r="H6" s="282"/>
      <c r="I6" s="288"/>
      <c r="J6" s="288"/>
      <c r="K6" s="282"/>
      <c r="L6" s="282"/>
    </row>
    <row r="7" spans="1:12" ht="15.75">
      <c r="A7" s="289">
        <v>1</v>
      </c>
      <c r="B7" s="290"/>
      <c r="C7" s="291"/>
      <c r="D7" s="292"/>
      <c r="E7" s="292"/>
      <c r="F7" s="293"/>
      <c r="G7" s="293"/>
      <c r="H7" s="294"/>
      <c r="I7" s="294"/>
      <c r="J7" s="294"/>
      <c r="K7" s="295"/>
      <c r="L7" s="295"/>
    </row>
    <row r="8" spans="1:12" ht="15.75">
      <c r="A8" s="296">
        <v>2</v>
      </c>
      <c r="B8" s="297"/>
      <c r="C8" s="291"/>
      <c r="D8" s="292"/>
      <c r="E8" s="292"/>
      <c r="F8" s="293"/>
      <c r="G8" s="299"/>
      <c r="H8" s="301"/>
      <c r="I8" s="301"/>
      <c r="J8" s="301"/>
      <c r="K8" s="282"/>
      <c r="L8" s="282"/>
    </row>
    <row r="9" spans="1:12" ht="15.75">
      <c r="A9" s="296">
        <v>3</v>
      </c>
      <c r="B9" s="297"/>
      <c r="C9" s="291"/>
      <c r="D9" s="292"/>
      <c r="E9" s="292"/>
      <c r="F9" s="293"/>
      <c r="G9" s="299"/>
      <c r="H9" s="301"/>
      <c r="I9" s="301"/>
      <c r="J9" s="301"/>
      <c r="K9" s="282"/>
      <c r="L9" s="282"/>
    </row>
    <row r="10" spans="1:12" s="466" customFormat="1" ht="15.75">
      <c r="A10" s="296">
        <v>4</v>
      </c>
      <c r="B10" s="463"/>
      <c r="C10" s="291"/>
      <c r="D10" s="292"/>
      <c r="E10" s="292"/>
      <c r="F10" s="293"/>
      <c r="G10" s="465"/>
      <c r="H10" s="294"/>
      <c r="I10" s="294"/>
      <c r="J10" s="294"/>
      <c r="K10" s="295"/>
      <c r="L10" s="295"/>
    </row>
    <row r="11" spans="1:12" ht="15.75">
      <c r="A11" s="296">
        <v>5</v>
      </c>
      <c r="B11" s="297"/>
      <c r="C11" s="291"/>
      <c r="D11" s="292"/>
      <c r="E11" s="292"/>
      <c r="F11" s="293"/>
      <c r="G11" s="300"/>
      <c r="H11" s="301"/>
      <c r="I11" s="301"/>
      <c r="J11" s="301"/>
      <c r="K11" s="282"/>
      <c r="L11" s="282"/>
    </row>
    <row r="12" spans="1:12" s="468" customFormat="1" ht="15.75">
      <c r="A12" s="296">
        <v>6</v>
      </c>
      <c r="B12" s="467"/>
      <c r="C12" s="291"/>
      <c r="D12" s="292"/>
      <c r="E12" s="292"/>
      <c r="F12" s="464"/>
      <c r="G12" s="465"/>
      <c r="H12" s="294"/>
      <c r="I12" s="294"/>
      <c r="J12" s="294"/>
      <c r="K12" s="295"/>
      <c r="L12" s="295"/>
    </row>
    <row r="13" spans="1:12" ht="15.75">
      <c r="A13" s="296">
        <v>7</v>
      </c>
      <c r="B13" s="297"/>
      <c r="C13" s="298"/>
      <c r="D13" s="299"/>
      <c r="E13" s="299"/>
      <c r="F13" s="299"/>
      <c r="G13" s="300"/>
      <c r="H13" s="301"/>
      <c r="I13" s="301"/>
      <c r="J13" s="301"/>
      <c r="K13" s="282"/>
      <c r="L13" s="282"/>
    </row>
    <row r="14" spans="1:12" ht="16.5" thickBot="1">
      <c r="A14" s="349">
        <v>8</v>
      </c>
      <c r="B14" s="350"/>
      <c r="C14" s="302"/>
      <c r="D14" s="303"/>
      <c r="E14" s="303"/>
      <c r="F14" s="303"/>
      <c r="G14" s="304"/>
      <c r="H14" s="301"/>
      <c r="I14" s="301"/>
      <c r="J14" s="301"/>
      <c r="K14" s="282"/>
      <c r="L14" s="282"/>
    </row>
    <row r="15" spans="1:12" ht="16.5" thickBot="1">
      <c r="A15" s="884" t="s">
        <v>1407</v>
      </c>
      <c r="B15" s="884"/>
      <c r="C15" s="305"/>
      <c r="D15" s="305"/>
      <c r="E15" s="306"/>
      <c r="F15" s="348">
        <f>SUM(F7:F14)</f>
        <v>0</v>
      </c>
      <c r="G15" s="351">
        <f>SUM(G7:G14)</f>
        <v>0</v>
      </c>
      <c r="H15" s="301"/>
      <c r="I15" s="301"/>
      <c r="J15" s="301"/>
      <c r="K15" s="282"/>
      <c r="L15" s="282"/>
    </row>
    <row r="16" spans="1:12" ht="15.75">
      <c r="A16" s="301"/>
      <c r="B16" s="307"/>
      <c r="C16" s="308"/>
      <c r="D16" s="308"/>
      <c r="E16" s="309"/>
      <c r="F16" s="310"/>
      <c r="G16" s="309"/>
      <c r="H16" s="301"/>
      <c r="I16" s="301"/>
      <c r="J16" s="301"/>
      <c r="K16" s="282"/>
      <c r="L16" s="282"/>
    </row>
    <row r="17" spans="1:12" ht="15.75">
      <c r="A17" s="311" t="s">
        <v>1408</v>
      </c>
      <c r="B17" s="311"/>
      <c r="C17" s="311"/>
      <c r="D17" s="311"/>
      <c r="E17" s="311"/>
      <c r="F17" s="311"/>
      <c r="G17" s="311"/>
      <c r="H17" s="301"/>
      <c r="I17" s="301"/>
      <c r="J17" s="301"/>
      <c r="K17" s="282"/>
      <c r="L17" s="282"/>
    </row>
    <row r="18" spans="1:12" ht="16.5" thickBot="1">
      <c r="A18" s="284"/>
      <c r="B18" s="284"/>
      <c r="C18" s="284"/>
      <c r="D18" s="284"/>
      <c r="E18" s="284"/>
      <c r="F18" s="284"/>
      <c r="G18" s="284"/>
      <c r="H18" s="284"/>
      <c r="I18" s="282"/>
      <c r="J18" s="282"/>
      <c r="K18" s="282"/>
      <c r="L18" s="284" t="s">
        <v>1399</v>
      </c>
    </row>
    <row r="19" spans="1:12" ht="16.5" thickBot="1">
      <c r="A19" s="885" t="s">
        <v>1400</v>
      </c>
      <c r="B19" s="886" t="s">
        <v>1401</v>
      </c>
      <c r="C19" s="887" t="s">
        <v>1409</v>
      </c>
      <c r="D19" s="887"/>
      <c r="E19" s="888" t="s">
        <v>1493</v>
      </c>
      <c r="F19" s="888"/>
      <c r="G19" s="889" t="s">
        <v>1506</v>
      </c>
      <c r="H19" s="889"/>
      <c r="I19" s="890" t="s">
        <v>1507</v>
      </c>
      <c r="J19" s="890"/>
      <c r="K19" s="891" t="s">
        <v>1508</v>
      </c>
      <c r="L19" s="891"/>
    </row>
    <row r="20" spans="1:12" ht="16.5" thickBot="1">
      <c r="A20" s="885"/>
      <c r="B20" s="886"/>
      <c r="C20" s="312" t="s">
        <v>1410</v>
      </c>
      <c r="D20" s="313" t="s">
        <v>1411</v>
      </c>
      <c r="E20" s="312" t="s">
        <v>1410</v>
      </c>
      <c r="F20" s="313" t="s">
        <v>1411</v>
      </c>
      <c r="G20" s="312" t="s">
        <v>1410</v>
      </c>
      <c r="H20" s="313" t="s">
        <v>1411</v>
      </c>
      <c r="I20" s="312" t="s">
        <v>1410</v>
      </c>
      <c r="J20" s="313" t="s">
        <v>1411</v>
      </c>
      <c r="K20" s="312" t="s">
        <v>1410</v>
      </c>
      <c r="L20" s="313" t="s">
        <v>1411</v>
      </c>
    </row>
    <row r="21" spans="1:12" ht="31.5">
      <c r="A21" s="314">
        <v>1</v>
      </c>
      <c r="B21" s="290" t="s">
        <v>1539</v>
      </c>
      <c r="C21" s="293">
        <v>3500</v>
      </c>
      <c r="D21" s="316"/>
      <c r="E21" s="315"/>
      <c r="F21" s="316"/>
      <c r="G21" s="315">
        <v>3500</v>
      </c>
      <c r="H21" s="317"/>
      <c r="I21" s="318">
        <v>3500</v>
      </c>
      <c r="J21" s="316"/>
      <c r="K21" s="318">
        <v>3500</v>
      </c>
      <c r="L21" s="316"/>
    </row>
    <row r="22" spans="1:12" ht="15.75">
      <c r="A22" s="296">
        <v>2</v>
      </c>
      <c r="B22" s="297" t="s">
        <v>1540</v>
      </c>
      <c r="C22" s="293">
        <v>3600</v>
      </c>
      <c r="D22" s="320"/>
      <c r="E22" s="319"/>
      <c r="F22" s="320"/>
      <c r="G22" s="319"/>
      <c r="H22" s="321"/>
      <c r="I22" s="322">
        <v>3600</v>
      </c>
      <c r="J22" s="320"/>
      <c r="K22" s="322">
        <v>3600</v>
      </c>
      <c r="L22" s="320"/>
    </row>
    <row r="23" spans="1:12" ht="15.75">
      <c r="A23" s="296">
        <v>3</v>
      </c>
      <c r="B23" s="297" t="s">
        <v>1511</v>
      </c>
      <c r="C23" s="293">
        <v>14500</v>
      </c>
      <c r="D23" s="320"/>
      <c r="E23" s="319"/>
      <c r="F23" s="320"/>
      <c r="G23" s="319">
        <v>7250</v>
      </c>
      <c r="H23" s="321">
        <v>6736</v>
      </c>
      <c r="I23" s="322">
        <v>14500</v>
      </c>
      <c r="J23" s="320">
        <v>6736</v>
      </c>
      <c r="K23" s="322">
        <v>14500</v>
      </c>
      <c r="L23" s="320"/>
    </row>
    <row r="24" spans="1:12" ht="15.75">
      <c r="A24" s="296">
        <v>4</v>
      </c>
      <c r="B24" s="463" t="s">
        <v>1512</v>
      </c>
      <c r="C24" s="293">
        <v>5000</v>
      </c>
      <c r="D24" s="320"/>
      <c r="E24" s="319"/>
      <c r="F24" s="320"/>
      <c r="G24" s="319"/>
      <c r="H24" s="321"/>
      <c r="I24" s="322">
        <v>5000</v>
      </c>
      <c r="J24" s="320"/>
      <c r="K24" s="322">
        <v>5000</v>
      </c>
      <c r="L24" s="320"/>
    </row>
    <row r="25" spans="1:12" ht="15.75">
      <c r="A25" s="296">
        <v>5</v>
      </c>
      <c r="B25" s="297" t="s">
        <v>1513</v>
      </c>
      <c r="C25" s="293">
        <v>3000</v>
      </c>
      <c r="D25" s="320"/>
      <c r="E25" s="319"/>
      <c r="F25" s="320"/>
      <c r="G25" s="319">
        <v>3000</v>
      </c>
      <c r="H25" s="321"/>
      <c r="I25" s="322">
        <v>3000</v>
      </c>
      <c r="J25" s="320"/>
      <c r="K25" s="322">
        <v>3000</v>
      </c>
      <c r="L25" s="320"/>
    </row>
    <row r="26" spans="1:12" ht="15.75">
      <c r="A26" s="296">
        <v>6</v>
      </c>
      <c r="B26" s="467" t="s">
        <v>1514</v>
      </c>
      <c r="C26" s="464">
        <v>1000</v>
      </c>
      <c r="D26" s="320"/>
      <c r="E26" s="319"/>
      <c r="F26" s="320"/>
      <c r="G26" s="319">
        <v>1000</v>
      </c>
      <c r="H26" s="321"/>
      <c r="I26" s="322">
        <v>1000</v>
      </c>
      <c r="J26" s="320"/>
      <c r="K26" s="322">
        <v>1000</v>
      </c>
      <c r="L26" s="320"/>
    </row>
    <row r="27" spans="1:12" s="783" customFormat="1" ht="15.75">
      <c r="A27" s="786">
        <v>7</v>
      </c>
      <c r="B27" s="786" t="s">
        <v>1541</v>
      </c>
      <c r="C27" s="787">
        <v>500</v>
      </c>
      <c r="D27" s="788"/>
      <c r="E27" s="789"/>
      <c r="F27" s="788"/>
      <c r="G27" s="789"/>
      <c r="H27" s="790">
        <v>486</v>
      </c>
      <c r="I27" s="791">
        <v>500</v>
      </c>
      <c r="J27" s="788">
        <v>486</v>
      </c>
      <c r="K27" s="789">
        <v>500</v>
      </c>
      <c r="L27" s="788"/>
    </row>
    <row r="28" spans="1:12" ht="16.5" thickBot="1">
      <c r="A28" s="882" t="s">
        <v>1407</v>
      </c>
      <c r="B28" s="882"/>
      <c r="C28" s="323">
        <v>31100</v>
      </c>
      <c r="D28" s="324"/>
      <c r="E28" s="323"/>
      <c r="F28" s="324">
        <f>SUM(F21:F26)</f>
        <v>0</v>
      </c>
      <c r="G28" s="323">
        <f>SUM(G21:G26)</f>
        <v>14750</v>
      </c>
      <c r="H28" s="325">
        <f>SUM(H21:H27)</f>
        <v>7222</v>
      </c>
      <c r="I28" s="326">
        <v>31100</v>
      </c>
      <c r="J28" s="324">
        <f>SUM(J21:J27)</f>
        <v>7222</v>
      </c>
      <c r="K28" s="323">
        <f>SUM(K21:K27)</f>
        <v>31100</v>
      </c>
      <c r="L28" s="324"/>
    </row>
    <row r="29" spans="1:12" ht="15">
      <c r="A29" s="327"/>
      <c r="B29" s="104"/>
      <c r="C29" s="104"/>
      <c r="D29" s="104"/>
      <c r="E29" s="104"/>
      <c r="F29" s="104"/>
      <c r="G29" s="104"/>
      <c r="H29" s="104"/>
      <c r="I29" s="104"/>
      <c r="J29" s="104"/>
      <c r="K29" s="104"/>
      <c r="L29" s="104"/>
    </row>
    <row r="30" spans="1:6" ht="15.75">
      <c r="A30" s="75" t="s">
        <v>1543</v>
      </c>
      <c r="B30" s="75"/>
      <c r="C30" s="75"/>
      <c r="D30" s="1"/>
      <c r="E30" s="182" t="s">
        <v>1396</v>
      </c>
      <c r="F30" s="182"/>
    </row>
    <row r="31" spans="1:6" ht="20.25">
      <c r="A31" s="246"/>
      <c r="B31" s="247"/>
      <c r="C31" s="246"/>
      <c r="D31" s="76" t="s">
        <v>492</v>
      </c>
      <c r="E31" s="246"/>
      <c r="F31" s="246"/>
    </row>
  </sheetData>
  <sheetProtection/>
  <mergeCells count="10">
    <mergeCell ref="A28:B28"/>
    <mergeCell ref="A3:L3"/>
    <mergeCell ref="A15:B15"/>
    <mergeCell ref="A19:A20"/>
    <mergeCell ref="B19:B20"/>
    <mergeCell ref="C19:D19"/>
    <mergeCell ref="E19:F19"/>
    <mergeCell ref="G19:H19"/>
    <mergeCell ref="I19:J19"/>
    <mergeCell ref="K19:L19"/>
  </mergeCells>
  <printOptions/>
  <pageMargins left="0.7" right="0.7" top="0.75" bottom="0.75" header="0.3" footer="0.3"/>
  <pageSetup fitToHeight="0" fitToWidth="1" horizontalDpi="600" verticalDpi="600" orientation="landscape" paperSize="9" scale="57" r:id="rId1"/>
</worksheet>
</file>

<file path=xl/worksheets/sheet13.xml><?xml version="1.0" encoding="utf-8"?>
<worksheet xmlns="http://schemas.openxmlformats.org/spreadsheetml/2006/main" xmlns:r="http://schemas.openxmlformats.org/officeDocument/2006/relationships">
  <sheetPr>
    <tabColor rgb="FFFF0000"/>
    <pageSetUpPr fitToPage="1"/>
  </sheetPr>
  <dimension ref="B1:G46"/>
  <sheetViews>
    <sheetView tabSelected="1" zoomScalePageLayoutView="0" workbookViewId="0" topLeftCell="A22">
      <selection activeCell="J12" sqref="J12"/>
    </sheetView>
  </sheetViews>
  <sheetFormatPr defaultColWidth="9.140625" defaultRowHeight="15"/>
  <cols>
    <col min="1" max="1" width="3.28125" style="0" customWidth="1"/>
    <col min="2" max="2" width="33.00390625" style="0" customWidth="1"/>
    <col min="3" max="3" width="50.140625" style="0" customWidth="1"/>
    <col min="4" max="4" width="9.28125" style="0" customWidth="1"/>
    <col min="5" max="5" width="18.140625" style="0" customWidth="1"/>
    <col min="6" max="7" width="15.7109375" style="0" customWidth="1"/>
  </cols>
  <sheetData>
    <row r="1" spans="5:7" ht="15">
      <c r="E1" s="104"/>
      <c r="F1" s="104"/>
      <c r="G1" s="104"/>
    </row>
    <row r="2" spans="2:7" ht="15">
      <c r="B2" s="352" t="s">
        <v>102</v>
      </c>
      <c r="C2" s="353"/>
      <c r="D2" s="354"/>
      <c r="E2" s="355"/>
      <c r="F2" s="355"/>
      <c r="G2" s="355" t="s">
        <v>1412</v>
      </c>
    </row>
    <row r="3" spans="2:7" ht="15">
      <c r="B3" s="352" t="s">
        <v>2</v>
      </c>
      <c r="C3" s="353"/>
      <c r="D3" s="354"/>
      <c r="E3" s="355"/>
      <c r="F3" s="355"/>
      <c r="G3" s="355"/>
    </row>
    <row r="4" spans="2:7" ht="15">
      <c r="B4" s="356"/>
      <c r="C4" s="357"/>
      <c r="D4" s="357"/>
      <c r="E4" s="358"/>
      <c r="F4" s="358"/>
      <c r="G4" s="358"/>
    </row>
    <row r="5" spans="2:7" ht="27" customHeight="1">
      <c r="B5" s="892" t="s">
        <v>1413</v>
      </c>
      <c r="C5" s="892"/>
      <c r="D5" s="892"/>
      <c r="E5" s="892"/>
      <c r="F5" s="892"/>
      <c r="G5" s="892"/>
    </row>
    <row r="6" spans="2:7" ht="15">
      <c r="B6" s="893" t="s">
        <v>1504</v>
      </c>
      <c r="C6" s="893"/>
      <c r="D6" s="893"/>
      <c r="E6" s="893"/>
      <c r="F6" s="893"/>
      <c r="G6" s="893"/>
    </row>
    <row r="7" spans="2:7" ht="15">
      <c r="B7" s="359"/>
      <c r="C7" s="359"/>
      <c r="D7" s="359"/>
      <c r="E7" s="360"/>
      <c r="F7" s="360"/>
      <c r="G7" s="360"/>
    </row>
    <row r="8" spans="2:7" ht="15.75" thickBot="1">
      <c r="B8" s="361"/>
      <c r="C8" s="359"/>
      <c r="D8" s="359"/>
      <c r="E8" s="360"/>
      <c r="F8" s="360"/>
      <c r="G8" s="360" t="s">
        <v>3</v>
      </c>
    </row>
    <row r="9" spans="2:7" ht="15.75" thickBot="1">
      <c r="B9" s="894" t="s">
        <v>4</v>
      </c>
      <c r="C9" s="895" t="s">
        <v>1414</v>
      </c>
      <c r="D9" s="895" t="s">
        <v>1415</v>
      </c>
      <c r="E9" s="895" t="s">
        <v>1416</v>
      </c>
      <c r="F9" s="895" t="s">
        <v>1417</v>
      </c>
      <c r="G9" s="896" t="s">
        <v>1418</v>
      </c>
    </row>
    <row r="10" spans="2:7" ht="15.75" thickBot="1">
      <c r="B10" s="894"/>
      <c r="C10" s="895"/>
      <c r="D10" s="895"/>
      <c r="E10" s="895"/>
      <c r="F10" s="895"/>
      <c r="G10" s="896"/>
    </row>
    <row r="11" spans="2:7" ht="15">
      <c r="B11" s="328">
        <v>1</v>
      </c>
      <c r="C11" s="329">
        <v>2</v>
      </c>
      <c r="D11" s="329">
        <v>3</v>
      </c>
      <c r="E11" s="329">
        <v>4</v>
      </c>
      <c r="F11" s="329">
        <v>5</v>
      </c>
      <c r="G11" s="330">
        <v>6</v>
      </c>
    </row>
    <row r="12" spans="2:7" ht="15">
      <c r="B12" s="897" t="s">
        <v>1419</v>
      </c>
      <c r="C12" s="898" t="s">
        <v>1420</v>
      </c>
      <c r="D12" s="899">
        <v>9108</v>
      </c>
      <c r="E12" s="900">
        <f>E14+E15+E16+E17</f>
        <v>1138</v>
      </c>
      <c r="F12" s="900">
        <f>F14+F15+F16+F17</f>
        <v>1138</v>
      </c>
      <c r="G12" s="900">
        <f>G14+G15+G16+G17</f>
        <v>0</v>
      </c>
    </row>
    <row r="13" spans="2:7" ht="15">
      <c r="B13" s="897"/>
      <c r="C13" s="898"/>
      <c r="D13" s="899"/>
      <c r="E13" s="900"/>
      <c r="F13" s="900"/>
      <c r="G13" s="900"/>
    </row>
    <row r="14" spans="2:7" ht="15">
      <c r="B14" s="331" t="s">
        <v>1421</v>
      </c>
      <c r="C14" s="366" t="s">
        <v>1422</v>
      </c>
      <c r="D14" s="367">
        <v>9109</v>
      </c>
      <c r="E14" s="368"/>
      <c r="F14" s="368"/>
      <c r="G14" s="369"/>
    </row>
    <row r="15" spans="2:7" ht="24">
      <c r="B15" s="331" t="s">
        <v>1423</v>
      </c>
      <c r="C15" s="366" t="s">
        <v>1424</v>
      </c>
      <c r="D15" s="367">
        <v>9110</v>
      </c>
      <c r="E15" s="368">
        <v>1138</v>
      </c>
      <c r="F15" s="368">
        <v>1138</v>
      </c>
      <c r="G15" s="369">
        <f>E15-F15</f>
        <v>0</v>
      </c>
    </row>
    <row r="16" spans="2:7" ht="24">
      <c r="B16" s="331" t="s">
        <v>1425</v>
      </c>
      <c r="C16" s="366" t="s">
        <v>1426</v>
      </c>
      <c r="D16" s="367">
        <v>9111</v>
      </c>
      <c r="E16" s="368"/>
      <c r="F16" s="368"/>
      <c r="G16" s="369"/>
    </row>
    <row r="17" spans="2:7" ht="24">
      <c r="B17" s="331" t="s">
        <v>1427</v>
      </c>
      <c r="C17" s="366" t="s">
        <v>1428</v>
      </c>
      <c r="D17" s="367">
        <v>9112</v>
      </c>
      <c r="E17" s="368"/>
      <c r="F17" s="368"/>
      <c r="G17" s="369"/>
    </row>
    <row r="18" spans="2:7" ht="24">
      <c r="B18" s="332" t="s">
        <v>1429</v>
      </c>
      <c r="C18" s="362" t="s">
        <v>1430</v>
      </c>
      <c r="D18" s="363">
        <v>9113</v>
      </c>
      <c r="E18" s="364"/>
      <c r="F18" s="364"/>
      <c r="G18" s="365"/>
    </row>
    <row r="19" spans="2:7" ht="15">
      <c r="B19" s="331" t="s">
        <v>1431</v>
      </c>
      <c r="C19" s="366" t="s">
        <v>1432</v>
      </c>
      <c r="D19" s="367">
        <v>9114</v>
      </c>
      <c r="E19" s="368"/>
      <c r="F19" s="368"/>
      <c r="G19" s="369"/>
    </row>
    <row r="20" spans="2:7" ht="36">
      <c r="B20" s="331" t="s">
        <v>1433</v>
      </c>
      <c r="C20" s="366" t="s">
        <v>1434</v>
      </c>
      <c r="D20" s="367">
        <v>9115</v>
      </c>
      <c r="E20" s="368"/>
      <c r="F20" s="368"/>
      <c r="G20" s="369"/>
    </row>
    <row r="21" spans="2:7" ht="24">
      <c r="B21" s="331" t="s">
        <v>1435</v>
      </c>
      <c r="C21" s="366" t="s">
        <v>1436</v>
      </c>
      <c r="D21" s="367">
        <v>9116</v>
      </c>
      <c r="E21" s="368"/>
      <c r="F21" s="368"/>
      <c r="G21" s="369"/>
    </row>
    <row r="22" spans="2:7" ht="36">
      <c r="B22" s="332" t="s">
        <v>1437</v>
      </c>
      <c r="C22" s="362" t="s">
        <v>1438</v>
      </c>
      <c r="D22" s="363">
        <v>9117</v>
      </c>
      <c r="E22" s="364">
        <f>E23+E24+E25+E26+E28+E29</f>
        <v>50747</v>
      </c>
      <c r="F22" s="364">
        <f>F23+F24+F25+F26+F28+F29</f>
        <v>16219</v>
      </c>
      <c r="G22" s="364">
        <f>G23+G24+G25+G26+G28+G29</f>
        <v>34528</v>
      </c>
    </row>
    <row r="23" spans="2:7" ht="36">
      <c r="B23" s="331" t="s">
        <v>1439</v>
      </c>
      <c r="C23" s="366" t="s">
        <v>1440</v>
      </c>
      <c r="D23" s="367">
        <v>9118</v>
      </c>
      <c r="E23" s="368"/>
      <c r="F23" s="368"/>
      <c r="G23" s="369"/>
    </row>
    <row r="24" spans="2:7" ht="48">
      <c r="B24" s="331" t="s">
        <v>1441</v>
      </c>
      <c r="C24" s="366" t="s">
        <v>1442</v>
      </c>
      <c r="D24" s="367">
        <v>9119</v>
      </c>
      <c r="E24" s="368">
        <v>29418</v>
      </c>
      <c r="F24" s="368"/>
      <c r="G24" s="369">
        <f>E24-F24</f>
        <v>29418</v>
      </c>
    </row>
    <row r="25" spans="2:7" ht="48">
      <c r="B25" s="331" t="s">
        <v>1441</v>
      </c>
      <c r="C25" s="366" t="s">
        <v>1443</v>
      </c>
      <c r="D25" s="370">
        <v>9120</v>
      </c>
      <c r="E25" s="368">
        <v>6129</v>
      </c>
      <c r="F25" s="368">
        <f>1065-14</f>
        <v>1051</v>
      </c>
      <c r="G25" s="369">
        <f>E25-F25</f>
        <v>5078</v>
      </c>
    </row>
    <row r="26" spans="2:7" ht="15">
      <c r="B26" s="901" t="s">
        <v>1444</v>
      </c>
      <c r="C26" s="902" t="s">
        <v>1445</v>
      </c>
      <c r="D26" s="903">
        <v>9121</v>
      </c>
      <c r="E26" s="904">
        <v>15132</v>
      </c>
      <c r="F26" s="904">
        <v>15132</v>
      </c>
      <c r="G26" s="905">
        <f>E26-F26</f>
        <v>0</v>
      </c>
    </row>
    <row r="27" spans="2:7" ht="24.75" customHeight="1">
      <c r="B27" s="901"/>
      <c r="C27" s="902"/>
      <c r="D27" s="903"/>
      <c r="E27" s="904"/>
      <c r="F27" s="904"/>
      <c r="G27" s="905"/>
    </row>
    <row r="28" spans="2:7" ht="48">
      <c r="B28" s="331" t="s">
        <v>1444</v>
      </c>
      <c r="C28" s="366" t="s">
        <v>1446</v>
      </c>
      <c r="D28" s="370">
        <v>9122</v>
      </c>
      <c r="E28" s="368">
        <v>68</v>
      </c>
      <c r="F28" s="368">
        <v>36</v>
      </c>
      <c r="G28" s="369">
        <f>E28-F28</f>
        <v>32</v>
      </c>
    </row>
    <row r="29" spans="2:7" ht="48">
      <c r="B29" s="331" t="s">
        <v>1441</v>
      </c>
      <c r="C29" s="372" t="s">
        <v>1447</v>
      </c>
      <c r="D29" s="367">
        <v>9123</v>
      </c>
      <c r="E29" s="368"/>
      <c r="F29" s="368"/>
      <c r="G29" s="369"/>
    </row>
    <row r="30" spans="2:7" ht="24">
      <c r="B30" s="332" t="s">
        <v>1448</v>
      </c>
      <c r="C30" s="362" t="s">
        <v>1449</v>
      </c>
      <c r="D30" s="373">
        <v>9124</v>
      </c>
      <c r="E30" s="364">
        <f>E31+E32+E33+E35+E36+E37</f>
        <v>137130</v>
      </c>
      <c r="F30" s="364">
        <f>F31+F32+F33+F35+F36+F37</f>
        <v>136522</v>
      </c>
      <c r="G30" s="364">
        <f>G31+G32+G33+G35+G36+G37</f>
        <v>608</v>
      </c>
    </row>
    <row r="31" spans="2:7" ht="24">
      <c r="B31" s="331" t="s">
        <v>1450</v>
      </c>
      <c r="C31" s="366" t="s">
        <v>1451</v>
      </c>
      <c r="D31" s="367">
        <v>9125</v>
      </c>
      <c r="E31" s="368">
        <v>594</v>
      </c>
      <c r="F31" s="368">
        <v>118</v>
      </c>
      <c r="G31" s="369">
        <f>E31-F31</f>
        <v>476</v>
      </c>
    </row>
    <row r="32" spans="2:7" ht="24">
      <c r="B32" s="331" t="s">
        <v>1452</v>
      </c>
      <c r="C32" s="371" t="s">
        <v>1453</v>
      </c>
      <c r="D32" s="367">
        <v>9126</v>
      </c>
      <c r="E32" s="368"/>
      <c r="F32" s="368"/>
      <c r="G32" s="369"/>
    </row>
    <row r="33" spans="2:7" ht="15">
      <c r="B33" s="901" t="s">
        <v>1452</v>
      </c>
      <c r="C33" s="902" t="s">
        <v>1454</v>
      </c>
      <c r="D33" s="903">
        <v>9127</v>
      </c>
      <c r="E33" s="904"/>
      <c r="F33" s="904"/>
      <c r="G33" s="905"/>
    </row>
    <row r="34" spans="2:7" ht="15">
      <c r="B34" s="901"/>
      <c r="C34" s="902"/>
      <c r="D34" s="903"/>
      <c r="E34" s="904"/>
      <c r="F34" s="904"/>
      <c r="G34" s="905"/>
    </row>
    <row r="35" spans="2:7" ht="24">
      <c r="B35" s="331" t="s">
        <v>1455</v>
      </c>
      <c r="C35" s="366" t="s">
        <v>1456</v>
      </c>
      <c r="D35" s="367">
        <v>9128</v>
      </c>
      <c r="E35" s="368">
        <v>132</v>
      </c>
      <c r="F35" s="368"/>
      <c r="G35" s="369">
        <v>132</v>
      </c>
    </row>
    <row r="36" spans="2:7" ht="24">
      <c r="B36" s="331" t="s">
        <v>1457</v>
      </c>
      <c r="C36" s="366" t="s">
        <v>1458</v>
      </c>
      <c r="D36" s="367">
        <v>9129</v>
      </c>
      <c r="E36" s="368"/>
      <c r="F36" s="368"/>
      <c r="G36" s="369"/>
    </row>
    <row r="37" spans="2:7" ht="36.75" thickBot="1">
      <c r="B37" s="333" t="s">
        <v>1459</v>
      </c>
      <c r="C37" s="374" t="s">
        <v>1460</v>
      </c>
      <c r="D37" s="375">
        <v>9130</v>
      </c>
      <c r="E37" s="376">
        <v>136404</v>
      </c>
      <c r="F37" s="376">
        <v>136404</v>
      </c>
      <c r="G37" s="377">
        <f>E37-F37</f>
        <v>0</v>
      </c>
    </row>
    <row r="38" spans="2:7" ht="15">
      <c r="B38" s="359"/>
      <c r="C38" s="359"/>
      <c r="D38" s="359"/>
      <c r="E38" s="360"/>
      <c r="F38" s="360"/>
      <c r="G38" s="360"/>
    </row>
    <row r="39" spans="2:7" ht="15">
      <c r="B39" s="378" t="s">
        <v>1542</v>
      </c>
      <c r="C39" s="357"/>
      <c r="D39" s="357"/>
      <c r="E39" s="358" t="s">
        <v>1461</v>
      </c>
      <c r="F39" s="358"/>
      <c r="G39" s="358"/>
    </row>
    <row r="40" spans="2:7" ht="15">
      <c r="B40" s="357"/>
      <c r="C40" s="358" t="s">
        <v>1462</v>
      </c>
      <c r="D40" s="359"/>
      <c r="E40" s="358"/>
      <c r="F40" s="360"/>
      <c r="G40" s="358"/>
    </row>
    <row r="41" spans="2:7" ht="17.25" customHeight="1">
      <c r="B41" s="357"/>
      <c r="C41" s="358"/>
      <c r="D41" s="359"/>
      <c r="E41" s="358"/>
      <c r="F41" s="360"/>
      <c r="G41" s="358"/>
    </row>
    <row r="42" spans="2:7" ht="52.5" customHeight="1">
      <c r="B42" s="906" t="s">
        <v>1463</v>
      </c>
      <c r="C42" s="906"/>
      <c r="D42" s="906"/>
      <c r="E42" s="906"/>
      <c r="F42" s="906"/>
      <c r="G42" s="906"/>
    </row>
    <row r="43" spans="2:7" ht="36.75" customHeight="1">
      <c r="B43" s="906"/>
      <c r="C43" s="906"/>
      <c r="D43" s="906"/>
      <c r="E43" s="906"/>
      <c r="F43" s="906"/>
      <c r="G43" s="906"/>
    </row>
    <row r="44" spans="2:7" ht="15">
      <c r="B44" s="334"/>
      <c r="C44" s="334"/>
      <c r="D44" s="334"/>
      <c r="E44" s="335"/>
      <c r="F44" s="335"/>
      <c r="G44" s="335"/>
    </row>
    <row r="45" spans="2:7" ht="15">
      <c r="B45" s="334"/>
      <c r="C45" s="334"/>
      <c r="D45" s="334"/>
      <c r="E45" s="335"/>
      <c r="F45" s="335"/>
      <c r="G45" s="335"/>
    </row>
    <row r="46" spans="2:7" ht="15">
      <c r="B46" s="334"/>
      <c r="C46" s="334"/>
      <c r="D46" s="334"/>
      <c r="E46" s="335"/>
      <c r="F46" s="335"/>
      <c r="G46" s="335"/>
    </row>
  </sheetData>
  <sheetProtection/>
  <mergeCells count="27">
    <mergeCell ref="B42:G43"/>
    <mergeCell ref="B33:B34"/>
    <mergeCell ref="C33:C34"/>
    <mergeCell ref="D33:D34"/>
    <mergeCell ref="E33:E34"/>
    <mergeCell ref="F33:F34"/>
    <mergeCell ref="G33:G34"/>
    <mergeCell ref="B26:B27"/>
    <mergeCell ref="C26:C27"/>
    <mergeCell ref="D26:D27"/>
    <mergeCell ref="E26:E27"/>
    <mergeCell ref="F26:F27"/>
    <mergeCell ref="G26:G27"/>
    <mergeCell ref="B12:B13"/>
    <mergeCell ref="C12:C13"/>
    <mergeCell ref="D12:D13"/>
    <mergeCell ref="E12:E13"/>
    <mergeCell ref="F12:F13"/>
    <mergeCell ref="G12:G13"/>
    <mergeCell ref="B5:G5"/>
    <mergeCell ref="B6:G6"/>
    <mergeCell ref="B9:B10"/>
    <mergeCell ref="C9:C10"/>
    <mergeCell ref="D9:D10"/>
    <mergeCell ref="E9:E10"/>
    <mergeCell ref="F9:F10"/>
    <mergeCell ref="G9:G10"/>
  </mergeCells>
  <printOptions/>
  <pageMargins left="0.7" right="0.7" top="0.75" bottom="0.75" header="0.3" footer="0.3"/>
  <pageSetup fitToHeight="0"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J149"/>
  <sheetViews>
    <sheetView zoomScale="70" zoomScaleNormal="70" zoomScalePageLayoutView="0" workbookViewId="0" topLeftCell="A121">
      <selection activeCell="H140" sqref="H140"/>
    </sheetView>
  </sheetViews>
  <sheetFormatPr defaultColWidth="9.140625" defaultRowHeight="15"/>
  <cols>
    <col min="1" max="1" width="25.7109375" style="0" customWidth="1"/>
    <col min="2" max="2" width="95.57421875" style="0" customWidth="1"/>
    <col min="3" max="3" width="9.8515625" style="0" customWidth="1"/>
    <col min="4" max="5" width="20.7109375" style="389" customWidth="1"/>
    <col min="6" max="6" width="26.140625" style="389" customWidth="1"/>
    <col min="7" max="8" width="20.7109375" style="389" customWidth="1"/>
  </cols>
  <sheetData>
    <row r="1" spans="1:8" ht="18.75">
      <c r="A1" s="53" t="s">
        <v>102</v>
      </c>
      <c r="B1" s="54"/>
      <c r="C1" s="54"/>
      <c r="D1" s="2"/>
      <c r="E1" s="2"/>
      <c r="F1" s="2"/>
      <c r="G1" s="2"/>
      <c r="H1" s="2"/>
    </row>
    <row r="2" spans="1:8" ht="18.75">
      <c r="A2" s="53" t="s">
        <v>2</v>
      </c>
      <c r="B2" s="54"/>
      <c r="C2" s="54"/>
      <c r="D2" s="2"/>
      <c r="E2" s="2"/>
      <c r="F2" s="2"/>
      <c r="G2" s="2"/>
      <c r="H2" s="2" t="s">
        <v>103</v>
      </c>
    </row>
    <row r="3" spans="1:8" ht="15.75">
      <c r="A3" s="54"/>
      <c r="B3" s="54"/>
      <c r="C3" s="54"/>
      <c r="D3" s="398"/>
      <c r="E3" s="398"/>
      <c r="F3" s="398"/>
      <c r="G3" s="399"/>
      <c r="H3" s="399"/>
    </row>
    <row r="4" spans="1:8" ht="27">
      <c r="A4" s="799" t="s">
        <v>1526</v>
      </c>
      <c r="B4" s="799"/>
      <c r="C4" s="799"/>
      <c r="D4" s="799"/>
      <c r="E4" s="799"/>
      <c r="F4" s="799"/>
      <c r="G4" s="799"/>
      <c r="H4" s="799"/>
    </row>
    <row r="5" spans="1:8" ht="16.5" thickBot="1">
      <c r="A5" s="56"/>
      <c r="B5" s="57"/>
      <c r="C5" s="57"/>
      <c r="D5" s="57"/>
      <c r="E5" s="57"/>
      <c r="F5" s="57"/>
      <c r="G5" s="399"/>
      <c r="H5" s="400" t="s">
        <v>3</v>
      </c>
    </row>
    <row r="6" spans="1:8" ht="16.5" thickBot="1">
      <c r="A6" s="800" t="s">
        <v>4</v>
      </c>
      <c r="B6" s="801" t="s">
        <v>104</v>
      </c>
      <c r="C6" s="801" t="s">
        <v>105</v>
      </c>
      <c r="D6" s="802" t="s">
        <v>1490</v>
      </c>
      <c r="E6" s="796" t="s">
        <v>1491</v>
      </c>
      <c r="F6" s="803" t="s">
        <v>1504</v>
      </c>
      <c r="G6" s="803"/>
      <c r="H6" s="804" t="s">
        <v>1531</v>
      </c>
    </row>
    <row r="7" spans="1:8" ht="53.25" customHeight="1" thickBot="1">
      <c r="A7" s="800"/>
      <c r="B7" s="801"/>
      <c r="C7" s="801"/>
      <c r="D7" s="802"/>
      <c r="E7" s="796"/>
      <c r="F7" s="336" t="s">
        <v>106</v>
      </c>
      <c r="G7" s="336" t="s">
        <v>107</v>
      </c>
      <c r="H7" s="804"/>
    </row>
    <row r="8" spans="1:8" ht="18.75">
      <c r="A8" s="58"/>
      <c r="B8" s="59" t="s">
        <v>108</v>
      </c>
      <c r="C8" s="60"/>
      <c r="D8" s="401"/>
      <c r="E8" s="401"/>
      <c r="F8" s="401"/>
      <c r="G8" s="402"/>
      <c r="H8" s="403"/>
    </row>
    <row r="9" spans="1:8" ht="18.75">
      <c r="A9" s="61">
        <v>0</v>
      </c>
      <c r="B9" s="62" t="s">
        <v>109</v>
      </c>
      <c r="C9" s="63" t="s">
        <v>110</v>
      </c>
      <c r="D9" s="20"/>
      <c r="E9" s="20"/>
      <c r="F9" s="20"/>
      <c r="G9" s="404"/>
      <c r="H9" s="405"/>
    </row>
    <row r="10" spans="1:8" ht="18.75">
      <c r="A10" s="61"/>
      <c r="B10" s="62" t="s">
        <v>111</v>
      </c>
      <c r="C10" s="63" t="s">
        <v>112</v>
      </c>
      <c r="D10" s="410">
        <v>296260</v>
      </c>
      <c r="E10" s="410">
        <v>514518</v>
      </c>
      <c r="F10" s="455">
        <v>500518</v>
      </c>
      <c r="G10" s="411">
        <v>374269</v>
      </c>
      <c r="H10" s="412">
        <f>G10/F10</f>
        <v>0.7477633172033773</v>
      </c>
    </row>
    <row r="11" spans="1:8" ht="18.75">
      <c r="A11" s="61">
        <v>1</v>
      </c>
      <c r="B11" s="62" t="s">
        <v>113</v>
      </c>
      <c r="C11" s="63" t="s">
        <v>114</v>
      </c>
      <c r="D11" s="410">
        <v>208</v>
      </c>
      <c r="E11" s="410">
        <v>250</v>
      </c>
      <c r="F11" s="455">
        <v>250</v>
      </c>
      <c r="G11" s="413">
        <f>G12+G13+G14+G15+G16+G17</f>
        <v>1171</v>
      </c>
      <c r="H11" s="412">
        <f>G11/F11</f>
        <v>4.684</v>
      </c>
    </row>
    <row r="12" spans="1:8" ht="18.75">
      <c r="A12" s="61" t="s">
        <v>115</v>
      </c>
      <c r="B12" s="64" t="s">
        <v>116</v>
      </c>
      <c r="C12" s="63" t="s">
        <v>117</v>
      </c>
      <c r="D12" s="20"/>
      <c r="E12" s="20"/>
      <c r="F12" s="456"/>
      <c r="G12" s="406"/>
      <c r="H12" s="407"/>
    </row>
    <row r="13" spans="1:8" ht="37.5">
      <c r="A13" s="61" t="s">
        <v>118</v>
      </c>
      <c r="B13" s="64" t="s">
        <v>119</v>
      </c>
      <c r="C13" s="63" t="s">
        <v>120</v>
      </c>
      <c r="D13" s="20">
        <v>208</v>
      </c>
      <c r="E13" s="20">
        <v>250</v>
      </c>
      <c r="F13" s="456">
        <v>250</v>
      </c>
      <c r="G13" s="404">
        <v>1171</v>
      </c>
      <c r="H13" s="407">
        <f>G13/F13</f>
        <v>4.684</v>
      </c>
    </row>
    <row r="14" spans="1:8" ht="18.75">
      <c r="A14" s="61" t="s">
        <v>121</v>
      </c>
      <c r="B14" s="64" t="s">
        <v>122</v>
      </c>
      <c r="C14" s="63" t="s">
        <v>123</v>
      </c>
      <c r="D14" s="20"/>
      <c r="E14" s="20"/>
      <c r="F14" s="456"/>
      <c r="G14" s="406"/>
      <c r="H14" s="407"/>
    </row>
    <row r="15" spans="1:8" ht="18.75">
      <c r="A15" s="65" t="s">
        <v>124</v>
      </c>
      <c r="B15" s="64" t="s">
        <v>125</v>
      </c>
      <c r="C15" s="63" t="s">
        <v>126</v>
      </c>
      <c r="D15" s="20"/>
      <c r="E15" s="20"/>
      <c r="F15" s="456"/>
      <c r="G15" s="406"/>
      <c r="H15" s="407"/>
    </row>
    <row r="16" spans="1:8" ht="18.75">
      <c r="A16" s="65" t="s">
        <v>127</v>
      </c>
      <c r="B16" s="64" t="s">
        <v>128</v>
      </c>
      <c r="C16" s="63" t="s">
        <v>129</v>
      </c>
      <c r="D16" s="20"/>
      <c r="E16" s="20"/>
      <c r="F16" s="456"/>
      <c r="G16" s="406"/>
      <c r="H16" s="407"/>
    </row>
    <row r="17" spans="1:8" ht="18.75">
      <c r="A17" s="65" t="s">
        <v>130</v>
      </c>
      <c r="B17" s="64" t="s">
        <v>131</v>
      </c>
      <c r="C17" s="63" t="s">
        <v>132</v>
      </c>
      <c r="D17" s="20"/>
      <c r="E17" s="20"/>
      <c r="F17" s="456"/>
      <c r="G17" s="404"/>
      <c r="H17" s="407"/>
    </row>
    <row r="18" spans="1:8" ht="37.5">
      <c r="A18" s="66">
        <v>2</v>
      </c>
      <c r="B18" s="62" t="s">
        <v>133</v>
      </c>
      <c r="C18" s="63" t="s">
        <v>134</v>
      </c>
      <c r="D18" s="410">
        <v>296052</v>
      </c>
      <c r="E18" s="410">
        <v>514244</v>
      </c>
      <c r="F18" s="455">
        <v>500244</v>
      </c>
      <c r="G18" s="411">
        <f>G19+G20+G21+G22+G23+G24+G25+G26</f>
        <v>373097</v>
      </c>
      <c r="H18" s="412">
        <f>G18/F18</f>
        <v>0.7458300349429479</v>
      </c>
    </row>
    <row r="19" spans="1:8" ht="18.75">
      <c r="A19" s="61" t="s">
        <v>135</v>
      </c>
      <c r="B19" s="64" t="s">
        <v>136</v>
      </c>
      <c r="C19" s="63" t="s">
        <v>137</v>
      </c>
      <c r="D19" s="20">
        <v>65196</v>
      </c>
      <c r="E19" s="20">
        <v>70158</v>
      </c>
      <c r="F19" s="456">
        <v>70158</v>
      </c>
      <c r="G19" s="406">
        <v>65196</v>
      </c>
      <c r="H19" s="407">
        <f>G19/F19</f>
        <v>0.9292739245702557</v>
      </c>
    </row>
    <row r="20" spans="1:9" ht="18.75">
      <c r="A20" s="65" t="s">
        <v>138</v>
      </c>
      <c r="B20" s="64" t="s">
        <v>139</v>
      </c>
      <c r="C20" s="63" t="s">
        <v>140</v>
      </c>
      <c r="D20" s="20">
        <v>86243</v>
      </c>
      <c r="E20" s="20">
        <v>94445</v>
      </c>
      <c r="F20" s="456">
        <v>96445</v>
      </c>
      <c r="G20" s="404">
        <v>86243</v>
      </c>
      <c r="H20" s="407">
        <f>G20/F20</f>
        <v>0.8942195033438748</v>
      </c>
      <c r="I20" s="785"/>
    </row>
    <row r="21" spans="1:8" ht="18.75">
      <c r="A21" s="61" t="s">
        <v>141</v>
      </c>
      <c r="B21" s="64" t="s">
        <v>142</v>
      </c>
      <c r="C21" s="63" t="s">
        <v>143</v>
      </c>
      <c r="D21" s="20">
        <v>144613</v>
      </c>
      <c r="E21" s="20">
        <v>176641</v>
      </c>
      <c r="F21" s="456">
        <v>188641</v>
      </c>
      <c r="G21" s="406">
        <v>153020</v>
      </c>
      <c r="H21" s="407">
        <f>G21/F21</f>
        <v>0.8111704242449944</v>
      </c>
    </row>
    <row r="22" spans="1:8" ht="18.75">
      <c r="A22" s="61" t="s">
        <v>144</v>
      </c>
      <c r="B22" s="64" t="s">
        <v>145</v>
      </c>
      <c r="C22" s="63" t="s">
        <v>146</v>
      </c>
      <c r="D22" s="20"/>
      <c r="E22" s="20"/>
      <c r="F22" s="456"/>
      <c r="G22" s="406"/>
      <c r="H22" s="407"/>
    </row>
    <row r="23" spans="1:8" ht="18.75">
      <c r="A23" s="61" t="s">
        <v>147</v>
      </c>
      <c r="B23" s="64" t="s">
        <v>148</v>
      </c>
      <c r="C23" s="63" t="s">
        <v>149</v>
      </c>
      <c r="D23" s="20"/>
      <c r="E23" s="20"/>
      <c r="F23" s="456"/>
      <c r="G23" s="404"/>
      <c r="H23" s="407"/>
    </row>
    <row r="24" spans="1:8" ht="18.75">
      <c r="A24" s="61" t="s">
        <v>150</v>
      </c>
      <c r="B24" s="64" t="s">
        <v>151</v>
      </c>
      <c r="C24" s="63" t="s">
        <v>152</v>
      </c>
      <c r="D24" s="20"/>
      <c r="E24" s="20">
        <v>173000</v>
      </c>
      <c r="F24" s="456">
        <v>145000</v>
      </c>
      <c r="G24" s="406">
        <v>68638</v>
      </c>
      <c r="H24" s="407"/>
    </row>
    <row r="25" spans="1:8" ht="18.75">
      <c r="A25" s="61" t="s">
        <v>153</v>
      </c>
      <c r="B25" s="64" t="s">
        <v>154</v>
      </c>
      <c r="C25" s="63" t="s">
        <v>155</v>
      </c>
      <c r="D25" s="20"/>
      <c r="E25" s="20"/>
      <c r="F25" s="456"/>
      <c r="G25" s="406"/>
      <c r="H25" s="407"/>
    </row>
    <row r="26" spans="1:8" ht="18.75">
      <c r="A26" s="61" t="s">
        <v>156</v>
      </c>
      <c r="B26" s="64" t="s">
        <v>157</v>
      </c>
      <c r="C26" s="63" t="s">
        <v>158</v>
      </c>
      <c r="D26" s="20"/>
      <c r="E26" s="20"/>
      <c r="F26" s="456"/>
      <c r="G26" s="406"/>
      <c r="H26" s="407"/>
    </row>
    <row r="27" spans="1:8" ht="18.75">
      <c r="A27" s="66">
        <v>3</v>
      </c>
      <c r="B27" s="62" t="s">
        <v>159</v>
      </c>
      <c r="C27" s="63" t="s">
        <v>160</v>
      </c>
      <c r="D27" s="20"/>
      <c r="E27" s="20"/>
      <c r="F27" s="456"/>
      <c r="G27" s="406"/>
      <c r="H27" s="407"/>
    </row>
    <row r="28" spans="1:8" ht="18.75">
      <c r="A28" s="61" t="s">
        <v>161</v>
      </c>
      <c r="B28" s="64" t="s">
        <v>162</v>
      </c>
      <c r="C28" s="63" t="s">
        <v>163</v>
      </c>
      <c r="D28" s="20"/>
      <c r="E28" s="20"/>
      <c r="F28" s="456"/>
      <c r="G28" s="406"/>
      <c r="H28" s="407"/>
    </row>
    <row r="29" spans="1:8" ht="18.75">
      <c r="A29" s="65" t="s">
        <v>164</v>
      </c>
      <c r="B29" s="64" t="s">
        <v>165</v>
      </c>
      <c r="C29" s="63" t="s">
        <v>166</v>
      </c>
      <c r="D29" s="20"/>
      <c r="E29" s="20"/>
      <c r="F29" s="456"/>
      <c r="G29" s="406"/>
      <c r="H29" s="407"/>
    </row>
    <row r="30" spans="1:8" ht="18.75">
      <c r="A30" s="65" t="s">
        <v>167</v>
      </c>
      <c r="B30" s="64" t="s">
        <v>168</v>
      </c>
      <c r="C30" s="63" t="s">
        <v>169</v>
      </c>
      <c r="D30" s="20"/>
      <c r="E30" s="20"/>
      <c r="F30" s="456"/>
      <c r="G30" s="404"/>
      <c r="H30" s="407"/>
    </row>
    <row r="31" spans="1:8" ht="18.75">
      <c r="A31" s="65" t="s">
        <v>170</v>
      </c>
      <c r="B31" s="64" t="s">
        <v>171</v>
      </c>
      <c r="C31" s="63" t="s">
        <v>172</v>
      </c>
      <c r="D31" s="20"/>
      <c r="E31" s="20"/>
      <c r="F31" s="456"/>
      <c r="G31" s="406"/>
      <c r="H31" s="407"/>
    </row>
    <row r="32" spans="1:8" ht="37.5">
      <c r="A32" s="67" t="s">
        <v>173</v>
      </c>
      <c r="B32" s="62" t="s">
        <v>174</v>
      </c>
      <c r="C32" s="63" t="s">
        <v>175</v>
      </c>
      <c r="D32" s="410"/>
      <c r="E32" s="410">
        <v>24</v>
      </c>
      <c r="F32" s="455">
        <f>F33+F34+F35+F36+F37+F38+F39+F40+F41</f>
        <v>24</v>
      </c>
      <c r="G32" s="413">
        <f>G33+G34+G35+G36+G37+G38+G39+G40+G41</f>
        <v>0</v>
      </c>
      <c r="H32" s="412">
        <f>G32/F32</f>
        <v>0</v>
      </c>
    </row>
    <row r="33" spans="1:8" ht="18.75">
      <c r="A33" s="65" t="s">
        <v>176</v>
      </c>
      <c r="B33" s="64" t="s">
        <v>177</v>
      </c>
      <c r="C33" s="63" t="s">
        <v>178</v>
      </c>
      <c r="D33" s="20"/>
      <c r="E33" s="20"/>
      <c r="F33" s="456"/>
      <c r="G33" s="406"/>
      <c r="H33" s="407"/>
    </row>
    <row r="34" spans="1:8" ht="18.75">
      <c r="A34" s="65" t="s">
        <v>179</v>
      </c>
      <c r="B34" s="64" t="s">
        <v>180</v>
      </c>
      <c r="C34" s="63" t="s">
        <v>181</v>
      </c>
      <c r="D34" s="20"/>
      <c r="E34" s="20"/>
      <c r="F34" s="456"/>
      <c r="G34" s="404"/>
      <c r="H34" s="407"/>
    </row>
    <row r="35" spans="1:8" ht="37.5">
      <c r="A35" s="65" t="s">
        <v>182</v>
      </c>
      <c r="B35" s="64" t="s">
        <v>183</v>
      </c>
      <c r="C35" s="63" t="s">
        <v>184</v>
      </c>
      <c r="D35" s="20"/>
      <c r="E35" s="20">
        <v>24</v>
      </c>
      <c r="F35" s="456">
        <v>24</v>
      </c>
      <c r="G35" s="404"/>
      <c r="H35" s="407">
        <f>G35/F35</f>
        <v>0</v>
      </c>
    </row>
    <row r="36" spans="1:8" ht="37.5">
      <c r="A36" s="65" t="s">
        <v>185</v>
      </c>
      <c r="B36" s="64" t="s">
        <v>186</v>
      </c>
      <c r="C36" s="63" t="s">
        <v>187</v>
      </c>
      <c r="D36" s="20"/>
      <c r="E36" s="20"/>
      <c r="F36" s="456"/>
      <c r="G36" s="406"/>
      <c r="H36" s="407"/>
    </row>
    <row r="37" spans="1:8" ht="37.5">
      <c r="A37" s="65" t="s">
        <v>185</v>
      </c>
      <c r="B37" s="64" t="s">
        <v>188</v>
      </c>
      <c r="C37" s="63" t="s">
        <v>189</v>
      </c>
      <c r="D37" s="20"/>
      <c r="E37" s="20"/>
      <c r="F37" s="456"/>
      <c r="G37" s="406"/>
      <c r="H37" s="407"/>
    </row>
    <row r="38" spans="1:8" ht="18.75">
      <c r="A38" s="65" t="s">
        <v>190</v>
      </c>
      <c r="B38" s="64" t="s">
        <v>191</v>
      </c>
      <c r="C38" s="63" t="s">
        <v>192</v>
      </c>
      <c r="D38" s="20"/>
      <c r="E38" s="20"/>
      <c r="F38" s="456"/>
      <c r="G38" s="406"/>
      <c r="H38" s="407"/>
    </row>
    <row r="39" spans="1:8" ht="18.75">
      <c r="A39" s="65" t="s">
        <v>190</v>
      </c>
      <c r="B39" s="64" t="s">
        <v>193</v>
      </c>
      <c r="C39" s="63" t="s">
        <v>194</v>
      </c>
      <c r="D39" s="20"/>
      <c r="E39" s="20"/>
      <c r="F39" s="456"/>
      <c r="G39" s="406"/>
      <c r="H39" s="407"/>
    </row>
    <row r="40" spans="1:8" ht="18.75">
      <c r="A40" s="65" t="s">
        <v>195</v>
      </c>
      <c r="B40" s="64" t="s">
        <v>196</v>
      </c>
      <c r="C40" s="63" t="s">
        <v>197</v>
      </c>
      <c r="D40" s="20"/>
      <c r="E40" s="20"/>
      <c r="F40" s="456"/>
      <c r="G40" s="406"/>
      <c r="H40" s="407"/>
    </row>
    <row r="41" spans="1:8" ht="18.75">
      <c r="A41" s="65" t="s">
        <v>198</v>
      </c>
      <c r="B41" s="64" t="s">
        <v>199</v>
      </c>
      <c r="C41" s="63" t="s">
        <v>200</v>
      </c>
      <c r="D41" s="20"/>
      <c r="E41" s="20"/>
      <c r="F41" s="456"/>
      <c r="G41" s="406"/>
      <c r="H41" s="407"/>
    </row>
    <row r="42" spans="1:8" ht="37.5">
      <c r="A42" s="67">
        <v>5</v>
      </c>
      <c r="B42" s="62" t="s">
        <v>201</v>
      </c>
      <c r="C42" s="63" t="s">
        <v>202</v>
      </c>
      <c r="D42" s="20"/>
      <c r="E42" s="20"/>
      <c r="F42" s="456"/>
      <c r="G42" s="406">
        <f>G43+G44+G45+G46+G47+G48+G49</f>
        <v>0</v>
      </c>
      <c r="H42" s="407"/>
    </row>
    <row r="43" spans="1:8" ht="18.75">
      <c r="A43" s="65" t="s">
        <v>203</v>
      </c>
      <c r="B43" s="64" t="s">
        <v>204</v>
      </c>
      <c r="C43" s="63" t="s">
        <v>205</v>
      </c>
      <c r="D43" s="20"/>
      <c r="E43" s="20"/>
      <c r="F43" s="456"/>
      <c r="G43" s="406"/>
      <c r="H43" s="407"/>
    </row>
    <row r="44" spans="1:8" ht="18.75">
      <c r="A44" s="65" t="s">
        <v>206</v>
      </c>
      <c r="B44" s="64" t="s">
        <v>207</v>
      </c>
      <c r="C44" s="63" t="s">
        <v>208</v>
      </c>
      <c r="D44" s="20"/>
      <c r="E44" s="20"/>
      <c r="F44" s="456"/>
      <c r="G44" s="406"/>
      <c r="H44" s="407"/>
    </row>
    <row r="45" spans="1:8" ht="18.75">
      <c r="A45" s="65" t="s">
        <v>209</v>
      </c>
      <c r="B45" s="64" t="s">
        <v>210</v>
      </c>
      <c r="C45" s="63" t="s">
        <v>211</v>
      </c>
      <c r="D45" s="20"/>
      <c r="E45" s="20"/>
      <c r="F45" s="456"/>
      <c r="G45" s="404"/>
      <c r="H45" s="407"/>
    </row>
    <row r="46" spans="1:8" ht="18.75">
      <c r="A46" s="65" t="s">
        <v>212</v>
      </c>
      <c r="B46" s="64" t="s">
        <v>213</v>
      </c>
      <c r="C46" s="63" t="s">
        <v>214</v>
      </c>
      <c r="D46" s="20"/>
      <c r="E46" s="20"/>
      <c r="F46" s="456"/>
      <c r="G46" s="406"/>
      <c r="H46" s="407"/>
    </row>
    <row r="47" spans="1:8" ht="18.75">
      <c r="A47" s="65" t="s">
        <v>215</v>
      </c>
      <c r="B47" s="64" t="s">
        <v>216</v>
      </c>
      <c r="C47" s="63" t="s">
        <v>217</v>
      </c>
      <c r="D47" s="20"/>
      <c r="E47" s="20"/>
      <c r="F47" s="456"/>
      <c r="G47" s="404"/>
      <c r="H47" s="407"/>
    </row>
    <row r="48" spans="1:8" ht="18.75">
      <c r="A48" s="65" t="s">
        <v>218</v>
      </c>
      <c r="B48" s="64" t="s">
        <v>219</v>
      </c>
      <c r="C48" s="63" t="s">
        <v>220</v>
      </c>
      <c r="D48" s="20"/>
      <c r="E48" s="20"/>
      <c r="F48" s="456"/>
      <c r="G48" s="406"/>
      <c r="H48" s="407"/>
    </row>
    <row r="49" spans="1:8" ht="18.75">
      <c r="A49" s="65" t="s">
        <v>221</v>
      </c>
      <c r="B49" s="64" t="s">
        <v>222</v>
      </c>
      <c r="C49" s="63" t="s">
        <v>223</v>
      </c>
      <c r="D49" s="20"/>
      <c r="E49" s="20"/>
      <c r="F49" s="456"/>
      <c r="G49" s="406"/>
      <c r="H49" s="407"/>
    </row>
    <row r="50" spans="1:8" ht="18.75">
      <c r="A50" s="67">
        <v>288</v>
      </c>
      <c r="B50" s="62" t="s">
        <v>224</v>
      </c>
      <c r="C50" s="63" t="s">
        <v>225</v>
      </c>
      <c r="D50" s="20">
        <v>12812</v>
      </c>
      <c r="E50" s="20"/>
      <c r="F50" s="456"/>
      <c r="G50" s="404">
        <v>12812</v>
      </c>
      <c r="H50" s="407"/>
    </row>
    <row r="51" spans="1:8" ht="37.5">
      <c r="A51" s="67"/>
      <c r="B51" s="62" t="s">
        <v>226</v>
      </c>
      <c r="C51" s="63" t="s">
        <v>227</v>
      </c>
      <c r="D51" s="410">
        <v>195059</v>
      </c>
      <c r="E51" s="410">
        <v>169031</v>
      </c>
      <c r="F51" s="455">
        <v>107958</v>
      </c>
      <c r="G51" s="411">
        <f>G52+G59+G67+G68+G69+G70+G76+G77+G78</f>
        <v>167955</v>
      </c>
      <c r="H51" s="412">
        <f>G51/F51</f>
        <v>1.5557439004057134</v>
      </c>
    </row>
    <row r="52" spans="1:8" ht="18.75">
      <c r="A52" s="67" t="s">
        <v>228</v>
      </c>
      <c r="B52" s="62" t="s">
        <v>229</v>
      </c>
      <c r="C52" s="63" t="s">
        <v>230</v>
      </c>
      <c r="D52" s="20">
        <v>6874</v>
      </c>
      <c r="E52" s="20">
        <v>7000</v>
      </c>
      <c r="F52" s="406">
        <f>F53+F54+F55+F56+F57+F58</f>
        <v>7500</v>
      </c>
      <c r="G52" s="406">
        <v>20811</v>
      </c>
      <c r="H52" s="407">
        <f>G52/F52</f>
        <v>2.7748</v>
      </c>
    </row>
    <row r="53" spans="1:8" ht="18.75">
      <c r="A53" s="65">
        <v>10</v>
      </c>
      <c r="B53" s="64" t="s">
        <v>231</v>
      </c>
      <c r="C53" s="63" t="s">
        <v>232</v>
      </c>
      <c r="D53" s="20">
        <v>6427</v>
      </c>
      <c r="E53" s="20"/>
      <c r="F53" s="456">
        <v>7500</v>
      </c>
      <c r="G53" s="406">
        <v>8967</v>
      </c>
      <c r="H53" s="407">
        <f>G53/F53</f>
        <v>1.1956</v>
      </c>
    </row>
    <row r="54" spans="1:8" ht="18.75">
      <c r="A54" s="65">
        <v>11</v>
      </c>
      <c r="B54" s="64" t="s">
        <v>233</v>
      </c>
      <c r="C54" s="63" t="s">
        <v>234</v>
      </c>
      <c r="D54" s="20"/>
      <c r="E54" s="20"/>
      <c r="F54" s="456"/>
      <c r="G54" s="406"/>
      <c r="H54" s="407"/>
    </row>
    <row r="55" spans="1:8" ht="18.75">
      <c r="A55" s="65">
        <v>12</v>
      </c>
      <c r="B55" s="64" t="s">
        <v>235</v>
      </c>
      <c r="C55" s="63" t="s">
        <v>236</v>
      </c>
      <c r="D55" s="20"/>
      <c r="E55" s="20"/>
      <c r="F55" s="456"/>
      <c r="G55" s="406"/>
      <c r="H55" s="407"/>
    </row>
    <row r="56" spans="1:8" ht="18.75">
      <c r="A56" s="65">
        <v>13</v>
      </c>
      <c r="B56" s="64" t="s">
        <v>237</v>
      </c>
      <c r="C56" s="63" t="s">
        <v>238</v>
      </c>
      <c r="D56" s="20"/>
      <c r="E56" s="20"/>
      <c r="F56" s="456"/>
      <c r="G56" s="406"/>
      <c r="H56" s="407"/>
    </row>
    <row r="57" spans="1:8" ht="18.75">
      <c r="A57" s="65">
        <v>14</v>
      </c>
      <c r="B57" s="64" t="s">
        <v>239</v>
      </c>
      <c r="C57" s="63" t="s">
        <v>240</v>
      </c>
      <c r="D57" s="20"/>
      <c r="E57" s="20"/>
      <c r="F57" s="456"/>
      <c r="G57" s="406"/>
      <c r="H57" s="407"/>
    </row>
    <row r="58" spans="1:8" ht="18.75">
      <c r="A58" s="65">
        <v>15</v>
      </c>
      <c r="B58" s="68" t="s">
        <v>241</v>
      </c>
      <c r="C58" s="63" t="s">
        <v>242</v>
      </c>
      <c r="D58" s="20">
        <v>447</v>
      </c>
      <c r="E58" s="20"/>
      <c r="F58" s="456"/>
      <c r="G58" s="408">
        <v>11844</v>
      </c>
      <c r="H58" s="407"/>
    </row>
    <row r="59" spans="1:8" ht="37.5">
      <c r="A59" s="67"/>
      <c r="B59" s="62" t="s">
        <v>243</v>
      </c>
      <c r="C59" s="63" t="s">
        <v>244</v>
      </c>
      <c r="D59" s="410">
        <v>16478</v>
      </c>
      <c r="E59" s="410">
        <v>31833</v>
      </c>
      <c r="F59" s="455">
        <v>25000</v>
      </c>
      <c r="G59" s="411">
        <f>G60+G61+G62+G63+G64+G65+G66</f>
        <v>34529</v>
      </c>
      <c r="H59" s="412">
        <f>G59/F59</f>
        <v>1.38116</v>
      </c>
    </row>
    <row r="60" spans="1:8" ht="18.75">
      <c r="A60" s="65" t="s">
        <v>245</v>
      </c>
      <c r="B60" s="64" t="s">
        <v>246</v>
      </c>
      <c r="C60" s="63" t="s">
        <v>247</v>
      </c>
      <c r="D60" s="20"/>
      <c r="E60" s="20"/>
      <c r="F60" s="456"/>
      <c r="G60" s="406"/>
      <c r="H60" s="407"/>
    </row>
    <row r="61" spans="1:8" ht="18.75">
      <c r="A61" s="65" t="s">
        <v>248</v>
      </c>
      <c r="B61" s="64" t="s">
        <v>249</v>
      </c>
      <c r="C61" s="63" t="s">
        <v>250</v>
      </c>
      <c r="D61" s="36"/>
      <c r="E61" s="36"/>
      <c r="F61" s="456"/>
      <c r="G61" s="409"/>
      <c r="H61" s="407"/>
    </row>
    <row r="62" spans="1:8" ht="18.75">
      <c r="A62" s="65" t="s">
        <v>251</v>
      </c>
      <c r="B62" s="64" t="s">
        <v>252</v>
      </c>
      <c r="C62" s="63" t="s">
        <v>253</v>
      </c>
      <c r="D62" s="34"/>
      <c r="E62" s="20"/>
      <c r="F62" s="456"/>
      <c r="G62" s="34"/>
      <c r="H62" s="407"/>
    </row>
    <row r="63" spans="1:8" ht="18.75">
      <c r="A63" s="65" t="s">
        <v>254</v>
      </c>
      <c r="B63" s="64" t="s">
        <v>255</v>
      </c>
      <c r="C63" s="63" t="s">
        <v>256</v>
      </c>
      <c r="D63" s="20"/>
      <c r="E63" s="20"/>
      <c r="F63" s="456"/>
      <c r="G63" s="20"/>
      <c r="H63" s="407"/>
    </row>
    <row r="64" spans="1:8" ht="18.75">
      <c r="A64" s="65" t="s">
        <v>257</v>
      </c>
      <c r="B64" s="64" t="s">
        <v>258</v>
      </c>
      <c r="C64" s="63" t="s">
        <v>259</v>
      </c>
      <c r="D64" s="36">
        <v>16478</v>
      </c>
      <c r="E64" s="36">
        <v>31833</v>
      </c>
      <c r="F64" s="456">
        <v>25000</v>
      </c>
      <c r="G64" s="409">
        <v>34529</v>
      </c>
      <c r="H64" s="407">
        <f>G64/F64</f>
        <v>1.38116</v>
      </c>
    </row>
    <row r="65" spans="1:8" ht="18.75">
      <c r="A65" s="65" t="s">
        <v>260</v>
      </c>
      <c r="B65" s="64" t="s">
        <v>261</v>
      </c>
      <c r="C65" s="63" t="s">
        <v>262</v>
      </c>
      <c r="D65" s="36"/>
      <c r="E65" s="36"/>
      <c r="F65" s="456"/>
      <c r="G65" s="409"/>
      <c r="H65" s="407"/>
    </row>
    <row r="66" spans="1:8" ht="18.75">
      <c r="A66" s="65" t="s">
        <v>263</v>
      </c>
      <c r="B66" s="64" t="s">
        <v>264</v>
      </c>
      <c r="C66" s="63" t="s">
        <v>265</v>
      </c>
      <c r="D66" s="36"/>
      <c r="E66" s="36"/>
      <c r="F66" s="456"/>
      <c r="G66" s="409"/>
      <c r="H66" s="407"/>
    </row>
    <row r="67" spans="1:8" ht="18.75">
      <c r="A67" s="67">
        <v>21</v>
      </c>
      <c r="B67" s="62" t="s">
        <v>266</v>
      </c>
      <c r="C67" s="63" t="s">
        <v>267</v>
      </c>
      <c r="D67" s="36"/>
      <c r="E67" s="36"/>
      <c r="F67" s="456"/>
      <c r="G67" s="409"/>
      <c r="H67" s="407"/>
    </row>
    <row r="68" spans="1:8" ht="18.75">
      <c r="A68" s="67">
        <v>22</v>
      </c>
      <c r="B68" s="62" t="s">
        <v>268</v>
      </c>
      <c r="C68" s="63" t="s">
        <v>269</v>
      </c>
      <c r="D68" s="395">
        <v>13525</v>
      </c>
      <c r="E68" s="395">
        <v>1500</v>
      </c>
      <c r="F68" s="457">
        <v>1500</v>
      </c>
      <c r="G68" s="395">
        <v>10540</v>
      </c>
      <c r="H68" s="412">
        <f>G68/F68</f>
        <v>7.026666666666666</v>
      </c>
    </row>
    <row r="69" spans="1:8" ht="37.5">
      <c r="A69" s="67">
        <v>236</v>
      </c>
      <c r="B69" s="62" t="s">
        <v>270</v>
      </c>
      <c r="C69" s="63" t="s">
        <v>271</v>
      </c>
      <c r="D69" s="36"/>
      <c r="E69" s="36"/>
      <c r="F69" s="456"/>
      <c r="G69" s="409"/>
      <c r="H69" s="407"/>
    </row>
    <row r="70" spans="1:8" ht="37.5">
      <c r="A70" s="67" t="s">
        <v>272</v>
      </c>
      <c r="B70" s="62" t="s">
        <v>273</v>
      </c>
      <c r="C70" s="63" t="s">
        <v>274</v>
      </c>
      <c r="D70" s="36"/>
      <c r="E70" s="36"/>
      <c r="F70" s="456"/>
      <c r="G70" s="409"/>
      <c r="H70" s="407"/>
    </row>
    <row r="71" spans="1:8" ht="18.75">
      <c r="A71" s="65" t="s">
        <v>275</v>
      </c>
      <c r="B71" s="64" t="s">
        <v>276</v>
      </c>
      <c r="C71" s="63" t="s">
        <v>277</v>
      </c>
      <c r="D71" s="36"/>
      <c r="E71" s="36"/>
      <c r="F71" s="456"/>
      <c r="G71" s="409"/>
      <c r="H71" s="407"/>
    </row>
    <row r="72" spans="1:8" ht="18.75">
      <c r="A72" s="65" t="s">
        <v>278</v>
      </c>
      <c r="B72" s="64" t="s">
        <v>279</v>
      </c>
      <c r="C72" s="63" t="s">
        <v>280</v>
      </c>
      <c r="D72" s="36"/>
      <c r="E72" s="36"/>
      <c r="F72" s="456"/>
      <c r="G72" s="409"/>
      <c r="H72" s="407"/>
    </row>
    <row r="73" spans="1:8" ht="18.75">
      <c r="A73" s="65" t="s">
        <v>281</v>
      </c>
      <c r="B73" s="64" t="s">
        <v>282</v>
      </c>
      <c r="C73" s="63" t="s">
        <v>283</v>
      </c>
      <c r="D73" s="36"/>
      <c r="E73" s="36"/>
      <c r="F73" s="456"/>
      <c r="G73" s="409"/>
      <c r="H73" s="407"/>
    </row>
    <row r="74" spans="1:8" ht="18.75">
      <c r="A74" s="65" t="s">
        <v>284</v>
      </c>
      <c r="B74" s="64" t="s">
        <v>285</v>
      </c>
      <c r="C74" s="63" t="s">
        <v>286</v>
      </c>
      <c r="D74" s="36"/>
      <c r="E74" s="36"/>
      <c r="F74" s="456"/>
      <c r="G74" s="409"/>
      <c r="H74" s="407"/>
    </row>
    <row r="75" spans="1:8" ht="37.5">
      <c r="A75" s="65" t="s">
        <v>287</v>
      </c>
      <c r="B75" s="64" t="s">
        <v>288</v>
      </c>
      <c r="C75" s="63" t="s">
        <v>289</v>
      </c>
      <c r="D75" s="36"/>
      <c r="E75" s="36"/>
      <c r="F75" s="456"/>
      <c r="G75" s="409"/>
      <c r="H75" s="407"/>
    </row>
    <row r="76" spans="1:8" ht="18.75">
      <c r="A76" s="67">
        <v>24</v>
      </c>
      <c r="B76" s="62" t="s">
        <v>290</v>
      </c>
      <c r="C76" s="63" t="s">
        <v>291</v>
      </c>
      <c r="D76" s="395">
        <v>152710</v>
      </c>
      <c r="E76" s="395">
        <v>63400</v>
      </c>
      <c r="F76" s="455">
        <v>71458</v>
      </c>
      <c r="G76" s="395">
        <v>56344</v>
      </c>
      <c r="H76" s="412">
        <f>G76/F76</f>
        <v>0.7884911416496404</v>
      </c>
    </row>
    <row r="77" spans="1:8" ht="18.75">
      <c r="A77" s="67">
        <v>27</v>
      </c>
      <c r="B77" s="62" t="s">
        <v>292</v>
      </c>
      <c r="C77" s="63" t="s">
        <v>293</v>
      </c>
      <c r="D77" s="36"/>
      <c r="E77" s="36"/>
      <c r="F77" s="456"/>
      <c r="G77" s="409">
        <v>45494</v>
      </c>
      <c r="H77" s="407"/>
    </row>
    <row r="78" spans="1:8" ht="18.75">
      <c r="A78" s="67" t="s">
        <v>294</v>
      </c>
      <c r="B78" s="62" t="s">
        <v>295</v>
      </c>
      <c r="C78" s="63" t="s">
        <v>296</v>
      </c>
      <c r="D78" s="395">
        <v>5472</v>
      </c>
      <c r="E78" s="395">
        <v>2500</v>
      </c>
      <c r="F78" s="455">
        <v>2500</v>
      </c>
      <c r="G78" s="395">
        <v>237</v>
      </c>
      <c r="H78" s="412">
        <f>G78/F78</f>
        <v>0.0948</v>
      </c>
    </row>
    <row r="79" spans="1:8" ht="37.5">
      <c r="A79" s="67"/>
      <c r="B79" s="62" t="s">
        <v>297</v>
      </c>
      <c r="C79" s="63" t="s">
        <v>298</v>
      </c>
      <c r="D79" s="395">
        <v>509928</v>
      </c>
      <c r="E79" s="395">
        <v>620751</v>
      </c>
      <c r="F79" s="455">
        <f>F9+F10+F50+F51</f>
        <v>608476</v>
      </c>
      <c r="G79" s="455">
        <f>G9+G10+G50+G51</f>
        <v>555036</v>
      </c>
      <c r="H79" s="412">
        <f>G79/F79</f>
        <v>0.9121740216540998</v>
      </c>
    </row>
    <row r="80" spans="1:8" ht="18.75">
      <c r="A80" s="67">
        <v>88</v>
      </c>
      <c r="B80" s="62" t="s">
        <v>299</v>
      </c>
      <c r="C80" s="63" t="s">
        <v>300</v>
      </c>
      <c r="D80" s="36">
        <v>7006</v>
      </c>
      <c r="E80" s="36"/>
      <c r="F80" s="456"/>
      <c r="G80" s="409">
        <v>346</v>
      </c>
      <c r="H80" s="407"/>
    </row>
    <row r="81" spans="1:8" ht="18.75">
      <c r="A81" s="67"/>
      <c r="B81" s="62" t="s">
        <v>301</v>
      </c>
      <c r="C81" s="69"/>
      <c r="D81" s="36"/>
      <c r="E81" s="36"/>
      <c r="F81" s="456"/>
      <c r="G81" s="409"/>
      <c r="H81" s="407"/>
    </row>
    <row r="82" spans="1:8" ht="37.5">
      <c r="A82" s="67"/>
      <c r="B82" s="62" t="s">
        <v>302</v>
      </c>
      <c r="C82" s="63" t="s">
        <v>303</v>
      </c>
      <c r="D82" s="395">
        <v>237951</v>
      </c>
      <c r="E82" s="395">
        <v>161584</v>
      </c>
      <c r="F82" s="455">
        <v>155838</v>
      </c>
      <c r="G82" s="395">
        <f>G83+G92-G93+G94+G95+G96-G97+G98+G101-G102</f>
        <v>230641</v>
      </c>
      <c r="H82" s="412">
        <f>G82/F82</f>
        <v>1.4800048768593026</v>
      </c>
    </row>
    <row r="83" spans="1:8" ht="37.5">
      <c r="A83" s="67">
        <v>30</v>
      </c>
      <c r="B83" s="62" t="s">
        <v>304</v>
      </c>
      <c r="C83" s="63" t="s">
        <v>305</v>
      </c>
      <c r="D83" s="36">
        <v>71982</v>
      </c>
      <c r="E83" s="36">
        <v>84227</v>
      </c>
      <c r="F83" s="409">
        <f>F84+F85+F86+F87+F88+F89+F90+F91</f>
        <v>84227</v>
      </c>
      <c r="G83" s="409">
        <f>G84+G85+G86+G87+G88+G89+G90+G91</f>
        <v>71982</v>
      </c>
      <c r="H83" s="407">
        <f>G83/F83</f>
        <v>0.8546190651453809</v>
      </c>
    </row>
    <row r="84" spans="1:8" ht="18.75">
      <c r="A84" s="65">
        <v>300</v>
      </c>
      <c r="B84" s="64" t="s">
        <v>306</v>
      </c>
      <c r="C84" s="63" t="s">
        <v>307</v>
      </c>
      <c r="D84" s="36"/>
      <c r="E84" s="36"/>
      <c r="F84" s="456"/>
      <c r="G84" s="409"/>
      <c r="H84" s="407"/>
    </row>
    <row r="85" spans="1:8" ht="18.75">
      <c r="A85" s="65">
        <v>301</v>
      </c>
      <c r="B85" s="64" t="s">
        <v>308</v>
      </c>
      <c r="C85" s="63" t="s">
        <v>309</v>
      </c>
      <c r="D85" s="36"/>
      <c r="E85" s="36"/>
      <c r="F85" s="456"/>
      <c r="G85" s="409"/>
      <c r="H85" s="407"/>
    </row>
    <row r="86" spans="1:8" ht="18.75">
      <c r="A86" s="65">
        <v>302</v>
      </c>
      <c r="B86" s="64" t="s">
        <v>310</v>
      </c>
      <c r="C86" s="63" t="s">
        <v>311</v>
      </c>
      <c r="D86" s="36"/>
      <c r="E86" s="36"/>
      <c r="F86" s="456"/>
      <c r="G86" s="409"/>
      <c r="H86" s="407"/>
    </row>
    <row r="87" spans="1:8" ht="18.75">
      <c r="A87" s="65">
        <v>303</v>
      </c>
      <c r="B87" s="64" t="s">
        <v>312</v>
      </c>
      <c r="C87" s="63" t="s">
        <v>313</v>
      </c>
      <c r="D87" s="36">
        <v>24188</v>
      </c>
      <c r="E87" s="36">
        <v>24188</v>
      </c>
      <c r="F87" s="458">
        <v>24188</v>
      </c>
      <c r="G87" s="409">
        <v>24188</v>
      </c>
      <c r="H87" s="407">
        <f>G87/F87</f>
        <v>1</v>
      </c>
    </row>
    <row r="88" spans="1:8" ht="18.75">
      <c r="A88" s="65">
        <v>304</v>
      </c>
      <c r="B88" s="64" t="s">
        <v>314</v>
      </c>
      <c r="C88" s="63" t="s">
        <v>315</v>
      </c>
      <c r="D88" s="36"/>
      <c r="E88" s="36"/>
      <c r="F88" s="456"/>
      <c r="G88" s="409"/>
      <c r="H88" s="407"/>
    </row>
    <row r="89" spans="1:8" ht="18.75">
      <c r="A89" s="65">
        <v>305</v>
      </c>
      <c r="B89" s="64" t="s">
        <v>316</v>
      </c>
      <c r="C89" s="63" t="s">
        <v>317</v>
      </c>
      <c r="D89" s="36"/>
      <c r="E89" s="36"/>
      <c r="F89" s="456"/>
      <c r="G89" s="409"/>
      <c r="H89" s="407"/>
    </row>
    <row r="90" spans="1:8" ht="18.75">
      <c r="A90" s="65">
        <v>306</v>
      </c>
      <c r="B90" s="64" t="s">
        <v>318</v>
      </c>
      <c r="C90" s="63" t="s">
        <v>319</v>
      </c>
      <c r="D90" s="36"/>
      <c r="E90" s="36"/>
      <c r="F90" s="456"/>
      <c r="G90" s="409"/>
      <c r="H90" s="407"/>
    </row>
    <row r="91" spans="1:8" ht="18.75">
      <c r="A91" s="65">
        <v>309</v>
      </c>
      <c r="B91" s="64" t="s">
        <v>320</v>
      </c>
      <c r="C91" s="63" t="s">
        <v>321</v>
      </c>
      <c r="D91" s="36">
        <v>47794</v>
      </c>
      <c r="E91" s="36">
        <v>60039</v>
      </c>
      <c r="F91" s="456">
        <v>60039</v>
      </c>
      <c r="G91" s="409">
        <v>47794</v>
      </c>
      <c r="H91" s="407"/>
    </row>
    <row r="92" spans="1:8" ht="18.75">
      <c r="A92" s="67">
        <v>31</v>
      </c>
      <c r="B92" s="62" t="s">
        <v>322</v>
      </c>
      <c r="C92" s="63" t="s">
        <v>323</v>
      </c>
      <c r="D92" s="36"/>
      <c r="E92" s="36"/>
      <c r="F92" s="456"/>
      <c r="G92" s="409"/>
      <c r="H92" s="407"/>
    </row>
    <row r="93" spans="1:8" ht="18.75">
      <c r="A93" s="67" t="s">
        <v>324</v>
      </c>
      <c r="B93" s="62" t="s">
        <v>325</v>
      </c>
      <c r="C93" s="63" t="s">
        <v>326</v>
      </c>
      <c r="D93" s="36"/>
      <c r="E93" s="36"/>
      <c r="F93" s="456"/>
      <c r="G93" s="409"/>
      <c r="H93" s="407"/>
    </row>
    <row r="94" spans="1:8" ht="18.75">
      <c r="A94" s="67">
        <v>32</v>
      </c>
      <c r="B94" s="62" t="s">
        <v>327</v>
      </c>
      <c r="C94" s="63" t="s">
        <v>328</v>
      </c>
      <c r="D94" s="36"/>
      <c r="E94" s="36"/>
      <c r="F94" s="456"/>
      <c r="G94" s="409"/>
      <c r="H94" s="407"/>
    </row>
    <row r="95" spans="1:8" ht="56.25">
      <c r="A95" s="67">
        <v>330</v>
      </c>
      <c r="B95" s="62" t="s">
        <v>329</v>
      </c>
      <c r="C95" s="63" t="s">
        <v>330</v>
      </c>
      <c r="D95" s="36">
        <v>113842</v>
      </c>
      <c r="E95" s="36">
        <v>120000</v>
      </c>
      <c r="F95" s="458">
        <v>123000</v>
      </c>
      <c r="G95" s="409">
        <v>113842</v>
      </c>
      <c r="H95" s="407">
        <f>G95/F95</f>
        <v>0.9255447154471544</v>
      </c>
    </row>
    <row r="96" spans="1:8" ht="75">
      <c r="A96" s="67" t="s">
        <v>331</v>
      </c>
      <c r="B96" s="62" t="s">
        <v>332</v>
      </c>
      <c r="C96" s="63" t="s">
        <v>333</v>
      </c>
      <c r="D96" s="36"/>
      <c r="E96" s="36"/>
      <c r="F96" s="456"/>
      <c r="G96" s="409"/>
      <c r="H96" s="407"/>
    </row>
    <row r="97" spans="1:8" ht="75">
      <c r="A97" s="67" t="s">
        <v>331</v>
      </c>
      <c r="B97" s="62" t="s">
        <v>334</v>
      </c>
      <c r="C97" s="63" t="s">
        <v>335</v>
      </c>
      <c r="D97" s="36">
        <v>50</v>
      </c>
      <c r="E97" s="36">
        <v>50</v>
      </c>
      <c r="F97" s="456">
        <v>50</v>
      </c>
      <c r="G97" s="409">
        <v>50</v>
      </c>
      <c r="H97" s="407">
        <f>G97/F97</f>
        <v>1</v>
      </c>
    </row>
    <row r="98" spans="1:8" ht="18.75">
      <c r="A98" s="67">
        <v>34</v>
      </c>
      <c r="B98" s="62" t="s">
        <v>336</v>
      </c>
      <c r="C98" s="63" t="s">
        <v>337</v>
      </c>
      <c r="D98" s="395">
        <v>63949</v>
      </c>
      <c r="E98" s="395">
        <v>32807</v>
      </c>
      <c r="F98" s="455">
        <v>24061</v>
      </c>
      <c r="G98" s="395">
        <f>G99+G100</f>
        <v>58154</v>
      </c>
      <c r="H98" s="412">
        <f>G98/F98</f>
        <v>2.416940276796476</v>
      </c>
    </row>
    <row r="99" spans="1:8" ht="18.75">
      <c r="A99" s="65">
        <v>340</v>
      </c>
      <c r="B99" s="64" t="s">
        <v>338</v>
      </c>
      <c r="C99" s="63" t="s">
        <v>339</v>
      </c>
      <c r="D99" s="36">
        <v>36147</v>
      </c>
      <c r="E99" s="36"/>
      <c r="F99" s="456"/>
      <c r="G99" s="409">
        <v>58154</v>
      </c>
      <c r="H99" s="407"/>
    </row>
    <row r="100" spans="1:8" ht="18.75">
      <c r="A100" s="65">
        <v>341</v>
      </c>
      <c r="B100" s="64" t="s">
        <v>340</v>
      </c>
      <c r="C100" s="63" t="s">
        <v>341</v>
      </c>
      <c r="D100" s="36">
        <v>22005</v>
      </c>
      <c r="E100" s="36">
        <v>32807</v>
      </c>
      <c r="F100" s="456">
        <v>24061</v>
      </c>
      <c r="G100" s="409"/>
      <c r="H100" s="407"/>
    </row>
    <row r="101" spans="1:8" ht="18.75">
      <c r="A101" s="67"/>
      <c r="B101" s="62" t="s">
        <v>342</v>
      </c>
      <c r="C101" s="63" t="s">
        <v>343</v>
      </c>
      <c r="D101" s="36"/>
      <c r="E101" s="36"/>
      <c r="F101" s="456"/>
      <c r="G101" s="409"/>
      <c r="H101" s="407"/>
    </row>
    <row r="102" spans="1:8" ht="18.75">
      <c r="A102" s="67">
        <v>35</v>
      </c>
      <c r="B102" s="62" t="s">
        <v>344</v>
      </c>
      <c r="C102" s="63" t="s">
        <v>345</v>
      </c>
      <c r="D102" s="395">
        <v>11772</v>
      </c>
      <c r="E102" s="395">
        <v>75400</v>
      </c>
      <c r="F102" s="455">
        <v>75400</v>
      </c>
      <c r="G102" s="395">
        <f>G103+G104</f>
        <v>13287</v>
      </c>
      <c r="H102" s="412">
        <f>G102/F102</f>
        <v>0.17622015915119363</v>
      </c>
    </row>
    <row r="103" spans="1:8" ht="18.75">
      <c r="A103" s="65">
        <v>350</v>
      </c>
      <c r="B103" s="64" t="s">
        <v>346</v>
      </c>
      <c r="C103" s="63" t="s">
        <v>347</v>
      </c>
      <c r="D103" s="36">
        <v>11772</v>
      </c>
      <c r="E103" s="36">
        <v>75400</v>
      </c>
      <c r="F103" s="456">
        <v>75400</v>
      </c>
      <c r="G103" s="409">
        <v>11772</v>
      </c>
      <c r="H103" s="407">
        <f>G103/F103</f>
        <v>0.15612732095490717</v>
      </c>
    </row>
    <row r="104" spans="1:8" ht="18.75">
      <c r="A104" s="65">
        <v>351</v>
      </c>
      <c r="B104" s="64" t="s">
        <v>348</v>
      </c>
      <c r="C104" s="63" t="s">
        <v>349</v>
      </c>
      <c r="D104" s="36"/>
      <c r="E104" s="36"/>
      <c r="F104" s="456"/>
      <c r="G104" s="409">
        <v>1515</v>
      </c>
      <c r="H104" s="407"/>
    </row>
    <row r="105" spans="1:8" ht="33" customHeight="1">
      <c r="A105" s="67"/>
      <c r="B105" s="62" t="s">
        <v>350</v>
      </c>
      <c r="C105" s="63" t="s">
        <v>351</v>
      </c>
      <c r="D105" s="36">
        <v>91922</v>
      </c>
      <c r="E105" s="36">
        <v>158000</v>
      </c>
      <c r="F105" s="409">
        <f>F106+F113</f>
        <v>158000</v>
      </c>
      <c r="G105" s="409">
        <f>G106+G113</f>
        <v>91499</v>
      </c>
      <c r="H105" s="407">
        <f>G105/F105</f>
        <v>0.5791075949367088</v>
      </c>
    </row>
    <row r="106" spans="1:8" ht="20.25" customHeight="1">
      <c r="A106" s="67">
        <v>40</v>
      </c>
      <c r="B106" s="62" t="s">
        <v>352</v>
      </c>
      <c r="C106" s="63" t="s">
        <v>353</v>
      </c>
      <c r="D106" s="395">
        <v>59517</v>
      </c>
      <c r="E106" s="395">
        <v>126000</v>
      </c>
      <c r="F106" s="455">
        <f>F107+F108+F109+F110+F111+F112</f>
        <v>126000</v>
      </c>
      <c r="G106" s="395">
        <f>G107+G108+G109+G110+G111+G112</f>
        <v>59094</v>
      </c>
      <c r="H106" s="412">
        <f>G106/F106</f>
        <v>0.469</v>
      </c>
    </row>
    <row r="107" spans="1:8" ht="18.75">
      <c r="A107" s="65">
        <v>400</v>
      </c>
      <c r="B107" s="64" t="s">
        <v>354</v>
      </c>
      <c r="C107" s="63" t="s">
        <v>355</v>
      </c>
      <c r="D107" s="36"/>
      <c r="E107" s="36"/>
      <c r="F107" s="456"/>
      <c r="G107" s="409"/>
      <c r="H107" s="407"/>
    </row>
    <row r="108" spans="1:8" ht="18.75">
      <c r="A108" s="65">
        <v>401</v>
      </c>
      <c r="B108" s="64" t="s">
        <v>356</v>
      </c>
      <c r="C108" s="63" t="s">
        <v>357</v>
      </c>
      <c r="D108" s="36"/>
      <c r="E108" s="36"/>
      <c r="F108" s="456"/>
      <c r="G108" s="409"/>
      <c r="H108" s="407"/>
    </row>
    <row r="109" spans="1:8" ht="18.75">
      <c r="A109" s="65">
        <v>403</v>
      </c>
      <c r="B109" s="64" t="s">
        <v>358</v>
      </c>
      <c r="C109" s="63" t="s">
        <v>359</v>
      </c>
      <c r="D109" s="36"/>
      <c r="E109" s="36"/>
      <c r="F109" s="456"/>
      <c r="G109" s="409"/>
      <c r="H109" s="407"/>
    </row>
    <row r="110" spans="1:8" ht="18.75">
      <c r="A110" s="65">
        <v>404</v>
      </c>
      <c r="B110" s="64" t="s">
        <v>360</v>
      </c>
      <c r="C110" s="63" t="s">
        <v>361</v>
      </c>
      <c r="D110" s="36">
        <v>10447</v>
      </c>
      <c r="E110" s="36">
        <v>12000</v>
      </c>
      <c r="F110" s="456">
        <v>12000</v>
      </c>
      <c r="G110" s="409">
        <v>10024</v>
      </c>
      <c r="H110" s="407">
        <f>G110/F110</f>
        <v>0.8353333333333334</v>
      </c>
    </row>
    <row r="111" spans="1:8" ht="18.75">
      <c r="A111" s="65">
        <v>405</v>
      </c>
      <c r="B111" s="64" t="s">
        <v>362</v>
      </c>
      <c r="C111" s="63" t="s">
        <v>363</v>
      </c>
      <c r="D111" s="36">
        <v>49070</v>
      </c>
      <c r="E111" s="36">
        <v>114000</v>
      </c>
      <c r="F111" s="456">
        <v>114000</v>
      </c>
      <c r="G111" s="409">
        <v>49070</v>
      </c>
      <c r="H111" s="407"/>
    </row>
    <row r="112" spans="1:8" ht="18.75">
      <c r="A112" s="65" t="s">
        <v>364</v>
      </c>
      <c r="B112" s="64" t="s">
        <v>365</v>
      </c>
      <c r="C112" s="63" t="s">
        <v>366</v>
      </c>
      <c r="D112" s="36"/>
      <c r="E112" s="36"/>
      <c r="F112" s="456"/>
      <c r="G112" s="409"/>
      <c r="H112" s="407"/>
    </row>
    <row r="113" spans="1:8" ht="37.5">
      <c r="A113" s="67">
        <v>41</v>
      </c>
      <c r="B113" s="62" t="s">
        <v>367</v>
      </c>
      <c r="C113" s="63" t="s">
        <v>368</v>
      </c>
      <c r="D113" s="395">
        <v>32405</v>
      </c>
      <c r="E113" s="395">
        <v>32000</v>
      </c>
      <c r="F113" s="455">
        <f>F114+F115+F116+F117+F118+F119+F120+F121</f>
        <v>32000</v>
      </c>
      <c r="G113" s="395">
        <f>G114+G115+G116+G117+G118+G119+G120+G121</f>
        <v>32405</v>
      </c>
      <c r="H113" s="412">
        <f>G113/F113</f>
        <v>1.01265625</v>
      </c>
    </row>
    <row r="114" spans="1:8" ht="18.75">
      <c r="A114" s="65">
        <v>410</v>
      </c>
      <c r="B114" s="64" t="s">
        <v>369</v>
      </c>
      <c r="C114" s="63" t="s">
        <v>370</v>
      </c>
      <c r="D114" s="36"/>
      <c r="E114" s="36"/>
      <c r="F114" s="456"/>
      <c r="G114" s="409"/>
      <c r="H114" s="407"/>
    </row>
    <row r="115" spans="1:8" ht="18.75">
      <c r="A115" s="65">
        <v>411</v>
      </c>
      <c r="B115" s="64" t="s">
        <v>371</v>
      </c>
      <c r="C115" s="63" t="s">
        <v>372</v>
      </c>
      <c r="D115" s="36"/>
      <c r="E115" s="36"/>
      <c r="F115" s="456"/>
      <c r="G115" s="409"/>
      <c r="H115" s="407"/>
    </row>
    <row r="116" spans="1:8" ht="18.75">
      <c r="A116" s="65">
        <v>412</v>
      </c>
      <c r="B116" s="64" t="s">
        <v>373</v>
      </c>
      <c r="C116" s="63" t="s">
        <v>374</v>
      </c>
      <c r="D116" s="36"/>
      <c r="E116" s="36"/>
      <c r="F116" s="456"/>
      <c r="G116" s="409"/>
      <c r="H116" s="407"/>
    </row>
    <row r="117" spans="1:8" ht="37.5">
      <c r="A117" s="65">
        <v>413</v>
      </c>
      <c r="B117" s="64" t="s">
        <v>375</v>
      </c>
      <c r="C117" s="63" t="s">
        <v>376</v>
      </c>
      <c r="D117" s="36"/>
      <c r="E117" s="36"/>
      <c r="F117" s="456"/>
      <c r="G117" s="409"/>
      <c r="H117" s="407"/>
    </row>
    <row r="118" spans="1:8" ht="18.75">
      <c r="A118" s="65">
        <v>414</v>
      </c>
      <c r="B118" s="64" t="s">
        <v>377</v>
      </c>
      <c r="C118" s="63" t="s">
        <v>378</v>
      </c>
      <c r="D118" s="36">
        <v>32405</v>
      </c>
      <c r="E118" s="36">
        <v>32000</v>
      </c>
      <c r="F118" s="456">
        <v>32000</v>
      </c>
      <c r="G118" s="409">
        <v>32405</v>
      </c>
      <c r="H118" s="407">
        <f>G118/F118</f>
        <v>1.01265625</v>
      </c>
    </row>
    <row r="119" spans="1:8" ht="18.75">
      <c r="A119" s="65">
        <v>415</v>
      </c>
      <c r="B119" s="64" t="s">
        <v>379</v>
      </c>
      <c r="C119" s="63" t="s">
        <v>380</v>
      </c>
      <c r="D119" s="36"/>
      <c r="E119" s="36"/>
      <c r="F119" s="456"/>
      <c r="G119" s="409"/>
      <c r="H119" s="407"/>
    </row>
    <row r="120" spans="1:8" ht="18.75">
      <c r="A120" s="65">
        <v>416</v>
      </c>
      <c r="B120" s="64" t="s">
        <v>381</v>
      </c>
      <c r="C120" s="63" t="s">
        <v>382</v>
      </c>
      <c r="D120" s="36"/>
      <c r="E120" s="36"/>
      <c r="F120" s="456"/>
      <c r="G120" s="409"/>
      <c r="H120" s="407"/>
    </row>
    <row r="121" spans="1:8" ht="18.75">
      <c r="A121" s="65">
        <v>419</v>
      </c>
      <c r="B121" s="64" t="s">
        <v>383</v>
      </c>
      <c r="C121" s="63" t="s">
        <v>384</v>
      </c>
      <c r="D121" s="36"/>
      <c r="E121" s="36"/>
      <c r="F121" s="456"/>
      <c r="G121" s="409"/>
      <c r="H121" s="407"/>
    </row>
    <row r="122" spans="1:8" ht="18.75">
      <c r="A122" s="67">
        <v>498</v>
      </c>
      <c r="B122" s="62" t="s">
        <v>385</v>
      </c>
      <c r="C122" s="63" t="s">
        <v>386</v>
      </c>
      <c r="D122" s="36"/>
      <c r="E122" s="36"/>
      <c r="F122" s="456"/>
      <c r="G122" s="409"/>
      <c r="H122" s="407"/>
    </row>
    <row r="123" spans="1:8" ht="37.5">
      <c r="A123" s="67" t="s">
        <v>387</v>
      </c>
      <c r="B123" s="62" t="s">
        <v>388</v>
      </c>
      <c r="C123" s="63" t="s">
        <v>389</v>
      </c>
      <c r="D123" s="395">
        <v>180055</v>
      </c>
      <c r="E123" s="395">
        <v>301167</v>
      </c>
      <c r="F123" s="455">
        <v>294638</v>
      </c>
      <c r="G123" s="395">
        <f>G124+G131+G132+G140+G141+G142+G143</f>
        <v>232896</v>
      </c>
      <c r="H123" s="412">
        <f>G123/F123</f>
        <v>0.790447939505427</v>
      </c>
    </row>
    <row r="124" spans="1:8" ht="37.5">
      <c r="A124" s="67">
        <v>42</v>
      </c>
      <c r="B124" s="62" t="s">
        <v>390</v>
      </c>
      <c r="C124" s="63" t="s">
        <v>391</v>
      </c>
      <c r="D124" s="36">
        <v>9313</v>
      </c>
      <c r="E124" s="36">
        <v>9600</v>
      </c>
      <c r="F124" s="409">
        <f>F125+F126+F127+F128+F129+F130</f>
        <v>9600</v>
      </c>
      <c r="G124" s="409">
        <f>G125+G126+G127+G128+G129+G130</f>
        <v>2328</v>
      </c>
      <c r="H124" s="407">
        <f>G124/F124</f>
        <v>0.2425</v>
      </c>
    </row>
    <row r="125" spans="1:8" ht="18.75">
      <c r="A125" s="65">
        <v>420</v>
      </c>
      <c r="B125" s="64" t="s">
        <v>392</v>
      </c>
      <c r="C125" s="63" t="s">
        <v>393</v>
      </c>
      <c r="D125" s="36"/>
      <c r="E125" s="36"/>
      <c r="F125" s="456"/>
      <c r="G125" s="409"/>
      <c r="H125" s="407"/>
    </row>
    <row r="126" spans="1:8" ht="18.75">
      <c r="A126" s="65">
        <v>421</v>
      </c>
      <c r="B126" s="64" t="s">
        <v>394</v>
      </c>
      <c r="C126" s="63" t="s">
        <v>395</v>
      </c>
      <c r="D126" s="36"/>
      <c r="E126" s="36"/>
      <c r="F126" s="456"/>
      <c r="G126" s="409"/>
      <c r="H126" s="407"/>
    </row>
    <row r="127" spans="1:8" ht="18.75">
      <c r="A127" s="65">
        <v>422</v>
      </c>
      <c r="B127" s="64" t="s">
        <v>282</v>
      </c>
      <c r="C127" s="63" t="s">
        <v>396</v>
      </c>
      <c r="D127" s="36"/>
      <c r="E127" s="36"/>
      <c r="F127" s="456"/>
      <c r="G127" s="409"/>
      <c r="H127" s="407"/>
    </row>
    <row r="128" spans="1:8" ht="18.75">
      <c r="A128" s="65">
        <v>423</v>
      </c>
      <c r="B128" s="64" t="s">
        <v>285</v>
      </c>
      <c r="C128" s="63" t="s">
        <v>397</v>
      </c>
      <c r="D128" s="36"/>
      <c r="E128" s="36"/>
      <c r="F128" s="456"/>
      <c r="G128" s="409"/>
      <c r="H128" s="407"/>
    </row>
    <row r="129" spans="1:8" ht="37.5">
      <c r="A129" s="65">
        <v>427</v>
      </c>
      <c r="B129" s="64" t="s">
        <v>398</v>
      </c>
      <c r="C129" s="63" t="s">
        <v>399</v>
      </c>
      <c r="D129" s="36"/>
      <c r="E129" s="36"/>
      <c r="F129" s="456"/>
      <c r="G129" s="409"/>
      <c r="H129" s="407"/>
    </row>
    <row r="130" spans="1:8" ht="18.75">
      <c r="A130" s="65" t="s">
        <v>400</v>
      </c>
      <c r="B130" s="64" t="s">
        <v>401</v>
      </c>
      <c r="C130" s="63" t="s">
        <v>402</v>
      </c>
      <c r="D130" s="36">
        <v>9313</v>
      </c>
      <c r="E130" s="36">
        <v>9600</v>
      </c>
      <c r="F130" s="456">
        <v>9600</v>
      </c>
      <c r="G130" s="409">
        <v>2328</v>
      </c>
      <c r="H130" s="407">
        <f>G130/F130</f>
        <v>0.2425</v>
      </c>
    </row>
    <row r="131" spans="1:8" ht="18.75">
      <c r="A131" s="67">
        <v>430</v>
      </c>
      <c r="B131" s="62" t="s">
        <v>403</v>
      </c>
      <c r="C131" s="63" t="s">
        <v>404</v>
      </c>
      <c r="D131" s="36">
        <v>31</v>
      </c>
      <c r="E131" s="36"/>
      <c r="F131" s="456"/>
      <c r="G131" s="409">
        <v>31</v>
      </c>
      <c r="H131" s="407"/>
    </row>
    <row r="132" spans="1:8" ht="37.5">
      <c r="A132" s="67" t="s">
        <v>405</v>
      </c>
      <c r="B132" s="62" t="s">
        <v>406</v>
      </c>
      <c r="C132" s="63" t="s">
        <v>407</v>
      </c>
      <c r="D132" s="395">
        <v>32232</v>
      </c>
      <c r="E132" s="395">
        <v>41567</v>
      </c>
      <c r="F132" s="457">
        <v>45038</v>
      </c>
      <c r="G132" s="395">
        <f>G133+G134+G135+G136+G137+G138+G139</f>
        <v>54323</v>
      </c>
      <c r="H132" s="412">
        <f>G132/F132</f>
        <v>1.206159243305653</v>
      </c>
    </row>
    <row r="133" spans="1:8" ht="18.75">
      <c r="A133" s="65">
        <v>431</v>
      </c>
      <c r="B133" s="64" t="s">
        <v>408</v>
      </c>
      <c r="C133" s="63" t="s">
        <v>409</v>
      </c>
      <c r="D133" s="36"/>
      <c r="E133" s="36"/>
      <c r="F133" s="456"/>
      <c r="G133" s="409"/>
      <c r="H133" s="407"/>
    </row>
    <row r="134" spans="1:8" ht="18.75">
      <c r="A134" s="65">
        <v>432</v>
      </c>
      <c r="B134" s="64" t="s">
        <v>410</v>
      </c>
      <c r="C134" s="63" t="s">
        <v>411</v>
      </c>
      <c r="D134" s="36"/>
      <c r="E134" s="36"/>
      <c r="F134" s="456"/>
      <c r="G134" s="409"/>
      <c r="H134" s="407"/>
    </row>
    <row r="135" spans="1:8" ht="18.75">
      <c r="A135" s="65">
        <v>433</v>
      </c>
      <c r="B135" s="64" t="s">
        <v>412</v>
      </c>
      <c r="C135" s="63" t="s">
        <v>413</v>
      </c>
      <c r="D135" s="36"/>
      <c r="E135" s="36"/>
      <c r="F135" s="456"/>
      <c r="G135" s="409"/>
      <c r="H135" s="407"/>
    </row>
    <row r="136" spans="1:8" ht="18.75">
      <c r="A136" s="65">
        <v>434</v>
      </c>
      <c r="B136" s="64" t="s">
        <v>414</v>
      </c>
      <c r="C136" s="63" t="s">
        <v>415</v>
      </c>
      <c r="D136" s="36"/>
      <c r="E136" s="36"/>
      <c r="F136" s="456"/>
      <c r="G136" s="409"/>
      <c r="H136" s="407"/>
    </row>
    <row r="137" spans="1:8" ht="18.75">
      <c r="A137" s="65">
        <v>435</v>
      </c>
      <c r="B137" s="64" t="s">
        <v>416</v>
      </c>
      <c r="C137" s="63" t="s">
        <v>417</v>
      </c>
      <c r="D137" s="36">
        <v>32232</v>
      </c>
      <c r="E137" s="36">
        <v>41567</v>
      </c>
      <c r="F137" s="456">
        <v>45038</v>
      </c>
      <c r="G137" s="409">
        <v>54323</v>
      </c>
      <c r="H137" s="407">
        <f>G137/F137</f>
        <v>1.206159243305653</v>
      </c>
    </row>
    <row r="138" spans="1:8" ht="18.75">
      <c r="A138" s="65">
        <v>436</v>
      </c>
      <c r="B138" s="64" t="s">
        <v>418</v>
      </c>
      <c r="C138" s="63" t="s">
        <v>419</v>
      </c>
      <c r="D138" s="36"/>
      <c r="E138" s="36"/>
      <c r="F138" s="456"/>
      <c r="G138" s="409"/>
      <c r="H138" s="407"/>
    </row>
    <row r="139" spans="1:8" ht="18.75">
      <c r="A139" s="65">
        <v>439</v>
      </c>
      <c r="B139" s="64" t="s">
        <v>420</v>
      </c>
      <c r="C139" s="63" t="s">
        <v>421</v>
      </c>
      <c r="D139" s="36"/>
      <c r="E139" s="36"/>
      <c r="F139" s="456"/>
      <c r="G139" s="409"/>
      <c r="H139" s="407"/>
    </row>
    <row r="140" spans="1:8" ht="18.75">
      <c r="A140" s="67" t="s">
        <v>422</v>
      </c>
      <c r="B140" s="62" t="s">
        <v>423</v>
      </c>
      <c r="C140" s="63" t="s">
        <v>424</v>
      </c>
      <c r="D140" s="36">
        <v>12556</v>
      </c>
      <c r="E140" s="36"/>
      <c r="F140" s="456"/>
      <c r="G140" s="409">
        <v>5313</v>
      </c>
      <c r="H140" s="407"/>
    </row>
    <row r="141" spans="1:8" ht="18.75">
      <c r="A141" s="67">
        <v>47</v>
      </c>
      <c r="B141" s="62" t="s">
        <v>425</v>
      </c>
      <c r="C141" s="63" t="s">
        <v>426</v>
      </c>
      <c r="D141" s="36"/>
      <c r="E141" s="36"/>
      <c r="F141" s="456"/>
      <c r="G141" s="409">
        <v>50703</v>
      </c>
      <c r="H141" s="407"/>
    </row>
    <row r="142" spans="1:8" ht="37.5">
      <c r="A142" s="67">
        <v>48</v>
      </c>
      <c r="B142" s="62" t="s">
        <v>427</v>
      </c>
      <c r="C142" s="63" t="s">
        <v>428</v>
      </c>
      <c r="D142" s="36">
        <v>4146</v>
      </c>
      <c r="E142" s="36"/>
      <c r="F142" s="456"/>
      <c r="G142" s="409">
        <v>1</v>
      </c>
      <c r="H142" s="407"/>
    </row>
    <row r="143" spans="1:8" ht="18.75">
      <c r="A143" s="67" t="s">
        <v>429</v>
      </c>
      <c r="B143" s="62" t="s">
        <v>430</v>
      </c>
      <c r="C143" s="63" t="s">
        <v>431</v>
      </c>
      <c r="D143" s="36">
        <v>121777</v>
      </c>
      <c r="E143" s="36">
        <v>250000</v>
      </c>
      <c r="F143" s="456">
        <v>240000</v>
      </c>
      <c r="G143" s="409">
        <v>120197</v>
      </c>
      <c r="H143" s="407">
        <f>G143/F143</f>
        <v>0.5008208333333334</v>
      </c>
    </row>
    <row r="144" spans="1:8" ht="56.25">
      <c r="A144" s="67"/>
      <c r="B144" s="62" t="s">
        <v>432</v>
      </c>
      <c r="C144" s="63" t="s">
        <v>433</v>
      </c>
      <c r="D144" s="36"/>
      <c r="E144" s="36"/>
      <c r="F144" s="456"/>
      <c r="G144" s="409"/>
      <c r="H144" s="407"/>
    </row>
    <row r="145" spans="1:8" ht="18.75">
      <c r="A145" s="67"/>
      <c r="B145" s="62" t="s">
        <v>434</v>
      </c>
      <c r="C145" s="63" t="s">
        <v>435</v>
      </c>
      <c r="D145" s="395">
        <v>509928</v>
      </c>
      <c r="E145" s="395">
        <v>620751</v>
      </c>
      <c r="F145" s="455">
        <f>F105+F123+F122+F82-F144</f>
        <v>608476</v>
      </c>
      <c r="G145" s="455">
        <f>G105+G123+G122+G82-G144</f>
        <v>555036</v>
      </c>
      <c r="H145" s="412">
        <f>G145/F145</f>
        <v>0.9121740216540998</v>
      </c>
    </row>
    <row r="146" spans="1:8" ht="19.5" thickBot="1">
      <c r="A146" s="70">
        <v>89</v>
      </c>
      <c r="B146" s="71" t="s">
        <v>436</v>
      </c>
      <c r="C146" s="72" t="s">
        <v>437</v>
      </c>
      <c r="D146" s="397">
        <v>7006</v>
      </c>
      <c r="E146" s="397"/>
      <c r="F146" s="459"/>
      <c r="G146" s="336"/>
      <c r="H146" s="414"/>
    </row>
    <row r="147" spans="1:8" ht="15.75">
      <c r="A147" s="54"/>
      <c r="B147" s="54"/>
      <c r="C147" s="54"/>
      <c r="D147" s="398"/>
      <c r="E147" s="398"/>
      <c r="F147" s="398"/>
      <c r="G147" s="399"/>
      <c r="H147" s="399"/>
    </row>
    <row r="148" spans="1:8" ht="15.75">
      <c r="A148" s="1" t="s">
        <v>1542</v>
      </c>
      <c r="B148" s="1"/>
      <c r="C148" s="1"/>
      <c r="D148" s="2"/>
      <c r="E148" s="190"/>
      <c r="F148" s="2" t="s">
        <v>100</v>
      </c>
      <c r="G148" s="190"/>
      <c r="H148" s="2"/>
    </row>
    <row r="149" spans="1:10" ht="18.75">
      <c r="A149" s="1"/>
      <c r="B149" s="1"/>
      <c r="C149" s="74" t="s">
        <v>101</v>
      </c>
      <c r="D149" s="2"/>
      <c r="E149" s="2"/>
      <c r="F149" s="2"/>
      <c r="G149" s="2"/>
      <c r="H149" s="2"/>
      <c r="J149" s="460">
        <f>G79-G145</f>
        <v>0</v>
      </c>
    </row>
  </sheetData>
  <sheetProtection/>
  <mergeCells count="8">
    <mergeCell ref="A4:H4"/>
    <mergeCell ref="A6:A7"/>
    <mergeCell ref="B6:B7"/>
    <mergeCell ref="C6:C7"/>
    <mergeCell ref="D6:D7"/>
    <mergeCell ref="E6:E7"/>
    <mergeCell ref="F6:G6"/>
    <mergeCell ref="H6:H7"/>
  </mergeCells>
  <printOptions/>
  <pageMargins left="0.11811023622047245" right="0.11811023622047245" top="0.15748031496062992" bottom="0.7480314960629921" header="0.31496062992125984" footer="0.31496062992125984"/>
  <pageSetup fitToHeight="0" fitToWidth="1"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tabColor rgb="FFFF0000"/>
  </sheetPr>
  <dimension ref="A1:H66"/>
  <sheetViews>
    <sheetView zoomScale="85" zoomScaleNormal="85" zoomScalePageLayoutView="0" workbookViewId="0" topLeftCell="A1">
      <selection activeCell="H26" sqref="H26"/>
    </sheetView>
  </sheetViews>
  <sheetFormatPr defaultColWidth="9.140625" defaultRowHeight="15"/>
  <cols>
    <col min="1" max="1" width="25.7109375" style="0" customWidth="1"/>
    <col min="2" max="2" width="95.57421875" style="0" customWidth="1"/>
    <col min="3" max="3" width="7.00390625" style="0" customWidth="1"/>
    <col min="4" max="4" width="23.421875" style="0" customWidth="1"/>
    <col min="5" max="5" width="25.00390625" style="0" customWidth="1"/>
    <col min="6" max="6" width="25.28125" style="0" customWidth="1"/>
    <col min="7" max="7" width="25.57421875" style="0" customWidth="1"/>
    <col min="8" max="8" width="26.421875" style="0" customWidth="1"/>
  </cols>
  <sheetData>
    <row r="1" spans="1:8" ht="15.75">
      <c r="A1" s="75"/>
      <c r="B1" s="75"/>
      <c r="C1" s="75"/>
      <c r="D1" s="76"/>
      <c r="E1" s="76"/>
      <c r="F1" s="76"/>
      <c r="G1" s="76"/>
      <c r="H1" s="77" t="s">
        <v>438</v>
      </c>
    </row>
    <row r="2" spans="1:8" ht="18.75">
      <c r="A2" s="53" t="s">
        <v>102</v>
      </c>
      <c r="B2" s="54"/>
      <c r="C2" s="78"/>
      <c r="D2" s="76"/>
      <c r="E2" s="76"/>
      <c r="F2" s="76"/>
      <c r="G2" s="76"/>
      <c r="H2" s="79"/>
    </row>
    <row r="3" spans="1:8" ht="18.75">
      <c r="A3" s="53" t="s">
        <v>2</v>
      </c>
      <c r="B3" s="54"/>
      <c r="C3" s="78"/>
      <c r="D3" s="76"/>
      <c r="E3" s="76"/>
      <c r="F3" s="76"/>
      <c r="G3" s="76"/>
      <c r="H3" s="79"/>
    </row>
    <row r="4" spans="1:8" ht="15.75">
      <c r="A4" s="75"/>
      <c r="B4" s="75"/>
      <c r="C4" s="75"/>
      <c r="D4" s="76"/>
      <c r="E4" s="76"/>
      <c r="F4" s="76"/>
      <c r="G4" s="76"/>
      <c r="H4" s="77"/>
    </row>
    <row r="5" spans="1:8" ht="27">
      <c r="A5" s="805" t="s">
        <v>439</v>
      </c>
      <c r="B5" s="805"/>
      <c r="C5" s="805"/>
      <c r="D5" s="805"/>
      <c r="E5" s="805"/>
      <c r="F5" s="805"/>
      <c r="G5" s="805"/>
      <c r="H5" s="805"/>
    </row>
    <row r="6" spans="1:8" ht="15.75">
      <c r="A6" s="806" t="s">
        <v>1529</v>
      </c>
      <c r="B6" s="806"/>
      <c r="C6" s="806"/>
      <c r="D6" s="806"/>
      <c r="E6" s="806"/>
      <c r="F6" s="806"/>
      <c r="G6" s="806"/>
      <c r="H6" s="806"/>
    </row>
    <row r="7" spans="1:8" ht="21" thickBot="1">
      <c r="A7" s="75"/>
      <c r="B7" s="75"/>
      <c r="C7" s="75"/>
      <c r="D7" s="76"/>
      <c r="E7" s="76"/>
      <c r="F7" s="76"/>
      <c r="G7" s="76"/>
      <c r="H7" s="80" t="s">
        <v>440</v>
      </c>
    </row>
    <row r="8" spans="1:8" ht="16.5" thickBot="1">
      <c r="A8" s="807"/>
      <c r="B8" s="808" t="s">
        <v>5</v>
      </c>
      <c r="C8" s="808" t="s">
        <v>105</v>
      </c>
      <c r="D8" s="809" t="s">
        <v>1488</v>
      </c>
      <c r="E8" s="809" t="s">
        <v>1489</v>
      </c>
      <c r="F8" s="810" t="s">
        <v>1527</v>
      </c>
      <c r="G8" s="810"/>
      <c r="H8" s="811" t="s">
        <v>1528</v>
      </c>
    </row>
    <row r="9" spans="1:8" ht="65.25" customHeight="1" thickBot="1">
      <c r="A9" s="807"/>
      <c r="B9" s="808"/>
      <c r="C9" s="808"/>
      <c r="D9" s="809"/>
      <c r="E9" s="809"/>
      <c r="F9" s="82" t="s">
        <v>7</v>
      </c>
      <c r="G9" s="83" t="s">
        <v>8</v>
      </c>
      <c r="H9" s="811"/>
    </row>
    <row r="10" spans="1:8" ht="15.75">
      <c r="A10" s="84">
        <v>1</v>
      </c>
      <c r="B10" s="85" t="s">
        <v>441</v>
      </c>
      <c r="C10" s="86"/>
      <c r="D10" s="87"/>
      <c r="E10" s="87"/>
      <c r="F10" s="87"/>
      <c r="G10" s="87"/>
      <c r="H10" s="88"/>
    </row>
    <row r="11" spans="1:8" ht="15.75">
      <c r="A11" s="89">
        <v>2</v>
      </c>
      <c r="B11" s="90" t="s">
        <v>442</v>
      </c>
      <c r="C11" s="91">
        <v>3001</v>
      </c>
      <c r="D11" s="763">
        <v>454346</v>
      </c>
      <c r="E11" s="763">
        <v>1098600</v>
      </c>
      <c r="F11" s="764">
        <v>869280</v>
      </c>
      <c r="G11" s="765">
        <f>SUM(G12:G14)</f>
        <v>419513</v>
      </c>
      <c r="H11" s="766">
        <f>G11/F11</f>
        <v>0.48259824222344927</v>
      </c>
    </row>
    <row r="12" spans="1:8" ht="15.75">
      <c r="A12" s="89">
        <v>3</v>
      </c>
      <c r="B12" s="94" t="s">
        <v>443</v>
      </c>
      <c r="C12" s="91">
        <v>3002</v>
      </c>
      <c r="D12" s="92">
        <v>454296</v>
      </c>
      <c r="E12" s="92">
        <v>1098600</v>
      </c>
      <c r="F12" s="781">
        <v>869280</v>
      </c>
      <c r="G12" s="92">
        <v>419513</v>
      </c>
      <c r="H12" s="93">
        <f>G12/F12</f>
        <v>0.48259824222344927</v>
      </c>
    </row>
    <row r="13" spans="1:8" ht="15.75">
      <c r="A13" s="89">
        <v>4</v>
      </c>
      <c r="B13" s="94" t="s">
        <v>444</v>
      </c>
      <c r="C13" s="91">
        <v>3003</v>
      </c>
      <c r="D13" s="92"/>
      <c r="E13" s="92"/>
      <c r="F13" s="448"/>
      <c r="G13" s="783"/>
      <c r="H13" s="93"/>
    </row>
    <row r="14" spans="1:8" ht="15.75">
      <c r="A14" s="89">
        <v>5</v>
      </c>
      <c r="B14" s="94" t="s">
        <v>445</v>
      </c>
      <c r="C14" s="91">
        <v>3004</v>
      </c>
      <c r="D14" s="92">
        <v>50</v>
      </c>
      <c r="E14" s="92"/>
      <c r="F14" s="448"/>
      <c r="G14" s="92"/>
      <c r="H14" s="93"/>
    </row>
    <row r="15" spans="1:8" ht="15.75">
      <c r="A15" s="89">
        <v>6</v>
      </c>
      <c r="B15" s="90" t="s">
        <v>446</v>
      </c>
      <c r="C15" s="91">
        <v>3005</v>
      </c>
      <c r="D15" s="763">
        <v>465235</v>
      </c>
      <c r="E15" s="763">
        <v>1014134</v>
      </c>
      <c r="F15" s="765">
        <v>810156</v>
      </c>
      <c r="G15" s="784">
        <f>SUM(G16:G20)</f>
        <v>452915</v>
      </c>
      <c r="H15" s="766">
        <f>G15/F15</f>
        <v>0.5590466527434222</v>
      </c>
    </row>
    <row r="16" spans="1:8" ht="15.75">
      <c r="A16" s="89">
        <v>7</v>
      </c>
      <c r="B16" s="94" t="s">
        <v>447</v>
      </c>
      <c r="C16" s="91">
        <v>3006</v>
      </c>
      <c r="D16" s="92">
        <v>256226</v>
      </c>
      <c r="E16" s="92">
        <v>771366</v>
      </c>
      <c r="F16" s="780">
        <v>633437</v>
      </c>
      <c r="G16" s="92">
        <v>275330</v>
      </c>
      <c r="H16" s="93">
        <f>G16/F16</f>
        <v>0.43466043189772624</v>
      </c>
    </row>
    <row r="17" spans="1:8" ht="15.75">
      <c r="A17" s="89">
        <v>8</v>
      </c>
      <c r="B17" s="94" t="s">
        <v>448</v>
      </c>
      <c r="C17" s="91">
        <v>3007</v>
      </c>
      <c r="D17" s="92">
        <v>180379</v>
      </c>
      <c r="E17" s="92">
        <v>223668</v>
      </c>
      <c r="F17" s="780">
        <v>163644</v>
      </c>
      <c r="G17" s="92">
        <v>140178</v>
      </c>
      <c r="H17" s="93">
        <f>G17/F17</f>
        <v>0.8566033585099362</v>
      </c>
    </row>
    <row r="18" spans="1:8" ht="15.75">
      <c r="A18" s="89">
        <v>9</v>
      </c>
      <c r="B18" s="94" t="s">
        <v>449</v>
      </c>
      <c r="C18" s="91">
        <v>3008</v>
      </c>
      <c r="D18" s="92">
        <v>7631</v>
      </c>
      <c r="E18" s="92">
        <v>4100</v>
      </c>
      <c r="F18" s="780">
        <v>3075</v>
      </c>
      <c r="G18" s="92">
        <v>1672</v>
      </c>
      <c r="H18" s="93">
        <f>G18/F18</f>
        <v>0.543739837398374</v>
      </c>
    </row>
    <row r="19" spans="1:8" ht="15.75">
      <c r="A19" s="89">
        <v>10</v>
      </c>
      <c r="B19" s="94" t="s">
        <v>450</v>
      </c>
      <c r="C19" s="91">
        <v>3009</v>
      </c>
      <c r="D19" s="92"/>
      <c r="E19" s="92"/>
      <c r="F19" s="448"/>
      <c r="G19" s="92"/>
      <c r="H19" s="93"/>
    </row>
    <row r="20" spans="1:8" ht="15.75">
      <c r="A20" s="89">
        <v>11</v>
      </c>
      <c r="B20" s="94" t="s">
        <v>451</v>
      </c>
      <c r="C20" s="91">
        <v>3010</v>
      </c>
      <c r="D20" s="763">
        <v>20999</v>
      </c>
      <c r="E20" s="763">
        <v>15000</v>
      </c>
      <c r="F20" s="764">
        <v>10000</v>
      </c>
      <c r="G20" s="763">
        <v>35735</v>
      </c>
      <c r="H20" s="766">
        <f>G20/F20</f>
        <v>3.5735</v>
      </c>
    </row>
    <row r="21" spans="1:8" ht="15.75">
      <c r="A21" s="89">
        <v>12</v>
      </c>
      <c r="B21" s="90" t="s">
        <v>452</v>
      </c>
      <c r="C21" s="91">
        <v>3011</v>
      </c>
      <c r="D21" s="763"/>
      <c r="E21" s="763">
        <v>84466</v>
      </c>
      <c r="F21" s="764">
        <v>59124</v>
      </c>
      <c r="G21" s="765">
        <f>IF((G11-G15)&gt;0,G11-G15,0)</f>
        <v>0</v>
      </c>
      <c r="H21" s="766">
        <f>G21/F21</f>
        <v>0</v>
      </c>
    </row>
    <row r="22" spans="1:8" ht="15.75">
      <c r="A22" s="89">
        <v>13</v>
      </c>
      <c r="B22" s="90" t="s">
        <v>453</v>
      </c>
      <c r="C22" s="91">
        <v>3012</v>
      </c>
      <c r="D22" s="763">
        <v>10889</v>
      </c>
      <c r="E22" s="763"/>
      <c r="F22" s="764"/>
      <c r="G22" s="765">
        <f>IF((G11-G15)&lt;0,-(G11-G15),0)</f>
        <v>33402</v>
      </c>
      <c r="H22" s="766"/>
    </row>
    <row r="23" spans="1:8" ht="15.75">
      <c r="A23" s="89">
        <v>14</v>
      </c>
      <c r="B23" s="90" t="s">
        <v>454</v>
      </c>
      <c r="C23" s="91"/>
      <c r="D23" s="92"/>
      <c r="E23" s="92"/>
      <c r="F23" s="448"/>
      <c r="G23" s="450"/>
      <c r="H23" s="93"/>
    </row>
    <row r="24" spans="1:8" ht="15.75">
      <c r="A24" s="89">
        <v>15</v>
      </c>
      <c r="B24" s="90" t="s">
        <v>455</v>
      </c>
      <c r="C24" s="91">
        <v>3013</v>
      </c>
      <c r="D24" s="763">
        <v>42193</v>
      </c>
      <c r="E24" s="763"/>
      <c r="F24" s="764"/>
      <c r="G24" s="765">
        <f>SUM(G25:G29)</f>
        <v>0</v>
      </c>
      <c r="H24" s="766"/>
    </row>
    <row r="25" spans="1:8" ht="15.75">
      <c r="A25" s="89">
        <v>16</v>
      </c>
      <c r="B25" s="94" t="s">
        <v>456</v>
      </c>
      <c r="C25" s="91">
        <v>3014</v>
      </c>
      <c r="D25" s="92"/>
      <c r="E25" s="92"/>
      <c r="F25" s="448"/>
      <c r="G25" s="450"/>
      <c r="H25" s="93"/>
    </row>
    <row r="26" spans="1:8" ht="15.75">
      <c r="A26" s="89">
        <v>17</v>
      </c>
      <c r="B26" s="94" t="s">
        <v>457</v>
      </c>
      <c r="C26" s="91">
        <v>3015</v>
      </c>
      <c r="D26" s="92">
        <v>2193</v>
      </c>
      <c r="E26" s="92"/>
      <c r="F26" s="448"/>
      <c r="G26" s="450"/>
      <c r="H26" s="93"/>
    </row>
    <row r="27" spans="1:8" ht="15.75">
      <c r="A27" s="89">
        <v>18</v>
      </c>
      <c r="B27" s="94" t="s">
        <v>458</v>
      </c>
      <c r="C27" s="91">
        <v>3016</v>
      </c>
      <c r="D27" s="92">
        <v>40000</v>
      </c>
      <c r="E27" s="92"/>
      <c r="F27" s="448"/>
      <c r="G27" s="450"/>
      <c r="H27" s="93"/>
    </row>
    <row r="28" spans="1:8" ht="15.75">
      <c r="A28" s="89">
        <v>19</v>
      </c>
      <c r="B28" s="94" t="s">
        <v>459</v>
      </c>
      <c r="C28" s="91">
        <v>3017</v>
      </c>
      <c r="D28" s="92"/>
      <c r="E28" s="92"/>
      <c r="F28" s="448"/>
      <c r="G28" s="450"/>
      <c r="H28" s="93"/>
    </row>
    <row r="29" spans="1:8" ht="15.75">
      <c r="A29" s="89">
        <v>20</v>
      </c>
      <c r="B29" s="94" t="s">
        <v>460</v>
      </c>
      <c r="C29" s="91">
        <v>3018</v>
      </c>
      <c r="D29" s="92"/>
      <c r="E29" s="92"/>
      <c r="F29" s="448"/>
      <c r="G29" s="450"/>
      <c r="H29" s="93"/>
    </row>
    <row r="30" spans="1:8" ht="15.75">
      <c r="A30" s="89">
        <v>21</v>
      </c>
      <c r="B30" s="90" t="s">
        <v>461</v>
      </c>
      <c r="C30" s="91">
        <v>3019</v>
      </c>
      <c r="D30" s="763">
        <v>132651</v>
      </c>
      <c r="E30" s="763">
        <v>165640</v>
      </c>
      <c r="F30" s="764">
        <v>134640</v>
      </c>
      <c r="G30" s="765">
        <f>SUM(G31:G33)</f>
        <v>55979</v>
      </c>
      <c r="H30" s="766">
        <f>G30/F30</f>
        <v>0.41576797385620917</v>
      </c>
    </row>
    <row r="31" spans="1:8" ht="15.75">
      <c r="A31" s="89">
        <v>22</v>
      </c>
      <c r="B31" s="94" t="s">
        <v>462</v>
      </c>
      <c r="C31" s="91">
        <v>3020</v>
      </c>
      <c r="D31" s="92"/>
      <c r="E31" s="92"/>
      <c r="F31" s="448"/>
      <c r="G31" s="450"/>
      <c r="H31" s="93"/>
    </row>
    <row r="32" spans="1:8" ht="21" customHeight="1">
      <c r="A32" s="89">
        <v>23</v>
      </c>
      <c r="B32" s="94" t="s">
        <v>463</v>
      </c>
      <c r="C32" s="91">
        <v>3021</v>
      </c>
      <c r="D32" s="92">
        <v>67858</v>
      </c>
      <c r="E32" s="92">
        <v>38640</v>
      </c>
      <c r="F32" s="449">
        <v>38640</v>
      </c>
      <c r="G32" s="450">
        <v>589</v>
      </c>
      <c r="H32" s="93"/>
    </row>
    <row r="33" spans="1:8" ht="15.75">
      <c r="A33" s="89">
        <v>24</v>
      </c>
      <c r="B33" s="94" t="s">
        <v>464</v>
      </c>
      <c r="C33" s="91">
        <v>3022</v>
      </c>
      <c r="D33" s="92">
        <v>64793</v>
      </c>
      <c r="E33" s="92">
        <v>127000</v>
      </c>
      <c r="F33" s="448">
        <v>96000</v>
      </c>
      <c r="G33" s="450">
        <v>55390</v>
      </c>
      <c r="H33" s="93"/>
    </row>
    <row r="34" spans="1:8" ht="15.75">
      <c r="A34" s="89">
        <v>25</v>
      </c>
      <c r="B34" s="90" t="s">
        <v>465</v>
      </c>
      <c r="C34" s="91">
        <v>3023</v>
      </c>
      <c r="D34" s="763"/>
      <c r="E34" s="763"/>
      <c r="F34" s="764"/>
      <c r="G34" s="765">
        <f>IF((G24-G30)&gt;0,G24-G30,0)</f>
        <v>0</v>
      </c>
      <c r="H34" s="766"/>
    </row>
    <row r="35" spans="1:8" ht="15.75">
      <c r="A35" s="89">
        <v>26</v>
      </c>
      <c r="B35" s="90" t="s">
        <v>466</v>
      </c>
      <c r="C35" s="91">
        <v>3024</v>
      </c>
      <c r="D35" s="763">
        <v>90458</v>
      </c>
      <c r="E35" s="763">
        <v>165640</v>
      </c>
      <c r="F35" s="767">
        <f>F30-F24</f>
        <v>134640</v>
      </c>
      <c r="G35" s="765">
        <f>IF((G24-G30)&lt;0,-(G24-G30),0)</f>
        <v>55979</v>
      </c>
      <c r="H35" s="766">
        <f>G35/F35</f>
        <v>0.41576797385620917</v>
      </c>
    </row>
    <row r="36" spans="1:8" ht="15.75">
      <c r="A36" s="89">
        <v>27</v>
      </c>
      <c r="B36" s="90" t="s">
        <v>467</v>
      </c>
      <c r="C36" s="91"/>
      <c r="D36" s="763"/>
      <c r="E36" s="763"/>
      <c r="F36" s="764"/>
      <c r="G36" s="765"/>
      <c r="H36" s="766"/>
    </row>
    <row r="37" spans="1:8" ht="15.75">
      <c r="A37" s="89">
        <v>28</v>
      </c>
      <c r="B37" s="90" t="s">
        <v>468</v>
      </c>
      <c r="C37" s="91">
        <v>3025</v>
      </c>
      <c r="D37" s="763">
        <v>46567</v>
      </c>
      <c r="E37" s="763"/>
      <c r="F37" s="765"/>
      <c r="G37" s="765">
        <f>G38+G39+G40+G41+G42</f>
        <v>0</v>
      </c>
      <c r="H37" s="766"/>
    </row>
    <row r="38" spans="1:8" ht="15.75">
      <c r="A38" s="89">
        <v>29</v>
      </c>
      <c r="B38" s="94" t="s">
        <v>469</v>
      </c>
      <c r="C38" s="91">
        <v>3026</v>
      </c>
      <c r="D38" s="92"/>
      <c r="E38" s="92"/>
      <c r="F38" s="448"/>
      <c r="G38" s="450"/>
      <c r="H38" s="93"/>
    </row>
    <row r="39" spans="1:8" ht="15.75">
      <c r="A39" s="89">
        <v>30</v>
      </c>
      <c r="B39" s="94" t="s">
        <v>470</v>
      </c>
      <c r="C39" s="91">
        <v>3027</v>
      </c>
      <c r="D39" s="92">
        <v>46567</v>
      </c>
      <c r="E39" s="92"/>
      <c r="F39" s="448"/>
      <c r="G39" s="450"/>
      <c r="H39" s="93"/>
    </row>
    <row r="40" spans="1:8" ht="15.75">
      <c r="A40" s="89">
        <v>31</v>
      </c>
      <c r="B40" s="94" t="s">
        <v>471</v>
      </c>
      <c r="C40" s="91">
        <v>3028</v>
      </c>
      <c r="D40" s="92"/>
      <c r="E40" s="92"/>
      <c r="F40" s="448"/>
      <c r="G40" s="450"/>
      <c r="H40" s="93"/>
    </row>
    <row r="41" spans="1:8" ht="15.75">
      <c r="A41" s="89">
        <v>32</v>
      </c>
      <c r="B41" s="94" t="s">
        <v>472</v>
      </c>
      <c r="C41" s="91">
        <v>3029</v>
      </c>
      <c r="D41" s="92"/>
      <c r="E41" s="92"/>
      <c r="F41" s="448"/>
      <c r="G41" s="450"/>
      <c r="H41" s="93"/>
    </row>
    <row r="42" spans="1:8" ht="15.75">
      <c r="A42" s="89">
        <v>33</v>
      </c>
      <c r="B42" s="94" t="s">
        <v>473</v>
      </c>
      <c r="C42" s="91">
        <v>3030</v>
      </c>
      <c r="D42" s="92"/>
      <c r="E42" s="92"/>
      <c r="F42" s="448"/>
      <c r="G42" s="450"/>
      <c r="H42" s="93"/>
    </row>
    <row r="43" spans="1:8" ht="15.75">
      <c r="A43" s="89">
        <v>34</v>
      </c>
      <c r="B43" s="90" t="s">
        <v>474</v>
      </c>
      <c r="C43" s="91">
        <v>3031</v>
      </c>
      <c r="D43" s="765">
        <v>4849</v>
      </c>
      <c r="E43" s="765">
        <v>9600</v>
      </c>
      <c r="F43" s="765">
        <v>7200</v>
      </c>
      <c r="G43" s="765">
        <f>G44+G45+G46+G47+G48+G49</f>
        <v>6985</v>
      </c>
      <c r="H43" s="766">
        <f>G43/F43</f>
        <v>0.9701388888888889</v>
      </c>
    </row>
    <row r="44" spans="1:8" ht="15.75">
      <c r="A44" s="89">
        <v>35</v>
      </c>
      <c r="B44" s="94" t="s">
        <v>475</v>
      </c>
      <c r="C44" s="91">
        <v>3032</v>
      </c>
      <c r="D44" s="92"/>
      <c r="E44" s="92"/>
      <c r="F44" s="448"/>
      <c r="G44" s="450"/>
      <c r="H44" s="93"/>
    </row>
    <row r="45" spans="1:8" ht="15.75">
      <c r="A45" s="89">
        <v>36</v>
      </c>
      <c r="B45" s="94" t="s">
        <v>476</v>
      </c>
      <c r="C45" s="91">
        <v>3033</v>
      </c>
      <c r="D45" s="92">
        <v>4849</v>
      </c>
      <c r="E45" s="92">
        <v>9600</v>
      </c>
      <c r="F45" s="780">
        <v>7200</v>
      </c>
      <c r="G45" s="92">
        <v>6985</v>
      </c>
      <c r="H45" s="93">
        <f>G45/F45</f>
        <v>0.9701388888888889</v>
      </c>
    </row>
    <row r="46" spans="1:8" ht="15.75">
      <c r="A46" s="89">
        <v>37</v>
      </c>
      <c r="B46" s="94" t="s">
        <v>477</v>
      </c>
      <c r="C46" s="91">
        <v>3034</v>
      </c>
      <c r="D46" s="92"/>
      <c r="E46" s="92"/>
      <c r="F46" s="448"/>
      <c r="G46" s="450"/>
      <c r="H46" s="93"/>
    </row>
    <row r="47" spans="1:8" ht="15.75">
      <c r="A47" s="89">
        <v>38</v>
      </c>
      <c r="B47" s="94" t="s">
        <v>478</v>
      </c>
      <c r="C47" s="91">
        <v>3035</v>
      </c>
      <c r="D47" s="92"/>
      <c r="E47" s="92"/>
      <c r="F47" s="448"/>
      <c r="G47" s="450"/>
      <c r="H47" s="93"/>
    </row>
    <row r="48" spans="1:8" ht="15.75">
      <c r="A48" s="89">
        <v>39</v>
      </c>
      <c r="B48" s="94" t="s">
        <v>479</v>
      </c>
      <c r="C48" s="91">
        <v>3036</v>
      </c>
      <c r="D48" s="92"/>
      <c r="E48" s="92"/>
      <c r="F48" s="448"/>
      <c r="G48" s="450"/>
      <c r="H48" s="93"/>
    </row>
    <row r="49" spans="1:8" ht="15.75">
      <c r="A49" s="89">
        <v>40</v>
      </c>
      <c r="B49" s="94" t="s">
        <v>480</v>
      </c>
      <c r="C49" s="91">
        <v>3037</v>
      </c>
      <c r="D49" s="92"/>
      <c r="E49" s="92"/>
      <c r="F49" s="448"/>
      <c r="G49" s="450"/>
      <c r="H49" s="93"/>
    </row>
    <row r="50" spans="1:8" ht="15.75">
      <c r="A50" s="89">
        <v>41</v>
      </c>
      <c r="B50" s="90" t="s">
        <v>481</v>
      </c>
      <c r="C50" s="91">
        <v>3038</v>
      </c>
      <c r="D50" s="763">
        <v>41718</v>
      </c>
      <c r="E50" s="763"/>
      <c r="F50" s="765"/>
      <c r="G50" s="765">
        <f>IF((G37-G43)&gt;0,G37-G43,0)</f>
        <v>0</v>
      </c>
      <c r="H50" s="766"/>
    </row>
    <row r="51" spans="1:8" ht="15.75">
      <c r="A51" s="89">
        <v>42</v>
      </c>
      <c r="B51" s="90" t="s">
        <v>482</v>
      </c>
      <c r="C51" s="91">
        <v>3039</v>
      </c>
      <c r="D51" s="763"/>
      <c r="E51" s="763">
        <v>9600</v>
      </c>
      <c r="F51" s="765">
        <f>F43-F37</f>
        <v>7200</v>
      </c>
      <c r="G51" s="765">
        <f>IF((G37-G43)&lt;0,-(G37-G43),0)</f>
        <v>6985</v>
      </c>
      <c r="H51" s="766"/>
    </row>
    <row r="52" spans="1:8" ht="15.75">
      <c r="A52" s="89">
        <v>43</v>
      </c>
      <c r="B52" s="90" t="s">
        <v>483</v>
      </c>
      <c r="C52" s="91">
        <v>3040</v>
      </c>
      <c r="D52" s="763">
        <v>543106</v>
      </c>
      <c r="E52" s="763">
        <v>1098600</v>
      </c>
      <c r="F52" s="765">
        <f>F11+F24+F37</f>
        <v>869280</v>
      </c>
      <c r="G52" s="765">
        <f>G11+G24+G37</f>
        <v>419513</v>
      </c>
      <c r="H52" s="766">
        <f>G52/F52</f>
        <v>0.48259824222344927</v>
      </c>
    </row>
    <row r="53" spans="1:8" ht="15.75">
      <c r="A53" s="89">
        <v>44</v>
      </c>
      <c r="B53" s="90" t="s">
        <v>484</v>
      </c>
      <c r="C53" s="91">
        <v>3041</v>
      </c>
      <c r="D53" s="763">
        <v>602735</v>
      </c>
      <c r="E53" s="763">
        <v>1189374</v>
      </c>
      <c r="F53" s="765">
        <f>F15+F30+F43</f>
        <v>951996</v>
      </c>
      <c r="G53" s="765">
        <f>G15+G30+G43</f>
        <v>515879</v>
      </c>
      <c r="H53" s="766">
        <f>G53/F53</f>
        <v>0.5418919827394233</v>
      </c>
    </row>
    <row r="54" spans="1:8" ht="15.75">
      <c r="A54" s="89">
        <v>45</v>
      </c>
      <c r="B54" s="90" t="s">
        <v>485</v>
      </c>
      <c r="C54" s="91">
        <v>3042</v>
      </c>
      <c r="D54" s="763"/>
      <c r="E54" s="763"/>
      <c r="F54" s="765"/>
      <c r="G54" s="765">
        <f>IF((G52-G53)&gt;0,G52-G53,0)</f>
        <v>0</v>
      </c>
      <c r="H54" s="766"/>
    </row>
    <row r="55" spans="1:8" ht="15.75">
      <c r="A55" s="95">
        <v>46</v>
      </c>
      <c r="B55" s="90" t="s">
        <v>486</v>
      </c>
      <c r="C55" s="91">
        <v>3043</v>
      </c>
      <c r="D55" s="763">
        <v>59629</v>
      </c>
      <c r="E55" s="763">
        <v>90774</v>
      </c>
      <c r="F55" s="765">
        <f>F53-F52</f>
        <v>82716</v>
      </c>
      <c r="G55" s="765">
        <f>IF((G52-G53)&lt;0,-(G52-G53),0)</f>
        <v>96366</v>
      </c>
      <c r="H55" s="766"/>
    </row>
    <row r="56" spans="1:8" ht="15.75">
      <c r="A56" s="84">
        <v>47</v>
      </c>
      <c r="B56" s="90" t="s">
        <v>487</v>
      </c>
      <c r="C56" s="91">
        <v>3044</v>
      </c>
      <c r="D56" s="763">
        <v>212339</v>
      </c>
      <c r="E56" s="763">
        <v>154174</v>
      </c>
      <c r="F56" s="765">
        <v>154174</v>
      </c>
      <c r="G56" s="765">
        <f>D59</f>
        <v>152710</v>
      </c>
      <c r="H56" s="766">
        <f>G56/F56</f>
        <v>0.9905042354742045</v>
      </c>
    </row>
    <row r="57" spans="1:8" ht="15.75">
      <c r="A57" s="89">
        <v>48</v>
      </c>
      <c r="B57" s="90" t="s">
        <v>488</v>
      </c>
      <c r="C57" s="91">
        <v>3045</v>
      </c>
      <c r="D57" s="92"/>
      <c r="E57" s="92"/>
      <c r="F57" s="450"/>
      <c r="G57" s="450"/>
      <c r="H57" s="93"/>
    </row>
    <row r="58" spans="1:8" ht="15.75">
      <c r="A58" s="89">
        <v>49</v>
      </c>
      <c r="B58" s="90" t="s">
        <v>489</v>
      </c>
      <c r="C58" s="91">
        <v>3046</v>
      </c>
      <c r="D58" s="96"/>
      <c r="E58" s="96"/>
      <c r="F58" s="451"/>
      <c r="G58" s="451"/>
      <c r="H58" s="93"/>
    </row>
    <row r="59" spans="1:8" ht="41.25" customHeight="1" thickBot="1">
      <c r="A59" s="97">
        <v>50</v>
      </c>
      <c r="B59" s="98" t="s">
        <v>490</v>
      </c>
      <c r="C59" s="99">
        <v>3047</v>
      </c>
      <c r="D59" s="768">
        <v>152710</v>
      </c>
      <c r="E59" s="768">
        <v>63400</v>
      </c>
      <c r="F59" s="769">
        <f>F54-F55+F56+F57-F58</f>
        <v>71458</v>
      </c>
      <c r="G59" s="769">
        <f>G54-G55+G56+G57-G58</f>
        <v>56344</v>
      </c>
      <c r="H59" s="770">
        <f>G59/F59</f>
        <v>0.7884911416496404</v>
      </c>
    </row>
    <row r="60" spans="1:8" ht="15.75">
      <c r="A60" s="75"/>
      <c r="B60" s="75"/>
      <c r="C60" s="75"/>
      <c r="D60" s="76"/>
      <c r="E60" s="76"/>
      <c r="F60" s="76"/>
      <c r="G60" s="76"/>
      <c r="H60" s="79"/>
    </row>
    <row r="61" spans="1:8" ht="15.75">
      <c r="A61" s="75"/>
      <c r="B61" s="75"/>
      <c r="C61" s="75"/>
      <c r="D61" s="76"/>
      <c r="E61" s="76"/>
      <c r="F61" s="76"/>
      <c r="G61" s="76"/>
      <c r="H61" s="79"/>
    </row>
    <row r="62" spans="1:8" ht="15.75">
      <c r="A62" s="812" t="s">
        <v>1542</v>
      </c>
      <c r="B62" s="812"/>
      <c r="C62" s="75"/>
      <c r="D62" s="76"/>
      <c r="E62" s="76"/>
      <c r="F62" s="813" t="s">
        <v>491</v>
      </c>
      <c r="G62" s="813"/>
      <c r="H62" s="813"/>
    </row>
    <row r="63" spans="1:8" ht="15.75">
      <c r="A63" s="75"/>
      <c r="B63" s="75"/>
      <c r="C63" s="75"/>
      <c r="D63" s="76" t="s">
        <v>492</v>
      </c>
      <c r="E63" s="76"/>
      <c r="F63" s="76"/>
      <c r="G63" s="76"/>
      <c r="H63" s="79"/>
    </row>
    <row r="64" spans="1:8" ht="15.75">
      <c r="A64" s="75"/>
      <c r="B64" s="75"/>
      <c r="C64" s="75"/>
      <c r="D64" s="76"/>
      <c r="E64" s="76"/>
      <c r="F64" s="76"/>
      <c r="G64" s="76"/>
      <c r="H64" s="79"/>
    </row>
    <row r="66" ht="15">
      <c r="H66" s="460"/>
    </row>
  </sheetData>
  <sheetProtection/>
  <mergeCells count="11">
    <mergeCell ref="A62:B62"/>
    <mergeCell ref="F62:H62"/>
    <mergeCell ref="A5:H5"/>
    <mergeCell ref="A6:H6"/>
    <mergeCell ref="A8:A9"/>
    <mergeCell ref="B8:B9"/>
    <mergeCell ref="C8:C9"/>
    <mergeCell ref="D8:D9"/>
    <mergeCell ref="E8:E9"/>
    <mergeCell ref="F8:G8"/>
    <mergeCell ref="H8:H9"/>
  </mergeCells>
  <printOptions/>
  <pageMargins left="0.11811023622047245" right="0.11811023622047245" top="0" bottom="0" header="0.31496062992125984" footer="0"/>
  <pageSetup fitToHeight="0"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tabColor rgb="FFFF0000"/>
  </sheetPr>
  <dimension ref="A1:N45"/>
  <sheetViews>
    <sheetView zoomScale="70" zoomScaleNormal="70" zoomScalePageLayoutView="0" workbookViewId="0" topLeftCell="A1">
      <selection activeCell="G34" sqref="G34"/>
    </sheetView>
  </sheetViews>
  <sheetFormatPr defaultColWidth="9.140625" defaultRowHeight="15"/>
  <cols>
    <col min="1" max="1" width="25.7109375" style="0" customWidth="1"/>
    <col min="2" max="2" width="95.57421875" style="0" customWidth="1"/>
    <col min="3" max="4" width="20.7109375" style="0" customWidth="1"/>
    <col min="5" max="5" width="21.7109375" style="0" customWidth="1"/>
    <col min="6" max="6" width="20.7109375" style="0" customWidth="1"/>
    <col min="7" max="7" width="21.28125" style="0" customWidth="1"/>
  </cols>
  <sheetData>
    <row r="1" spans="1:7" ht="15.75">
      <c r="A1" s="1"/>
      <c r="B1" s="1"/>
      <c r="C1" s="101"/>
      <c r="D1" s="55"/>
      <c r="E1" s="55"/>
      <c r="F1" s="55"/>
      <c r="G1" s="102" t="s">
        <v>493</v>
      </c>
    </row>
    <row r="2" spans="1:7" ht="18.75">
      <c r="A2" s="53" t="s">
        <v>102</v>
      </c>
      <c r="B2" s="54"/>
      <c r="C2" s="103"/>
      <c r="D2" s="104"/>
      <c r="E2" s="104"/>
      <c r="F2" s="104"/>
      <c r="G2" s="105"/>
    </row>
    <row r="3" spans="1:7" ht="18.75">
      <c r="A3" s="53" t="s">
        <v>2</v>
      </c>
      <c r="B3" s="54"/>
      <c r="C3" s="103"/>
      <c r="D3" s="104"/>
      <c r="E3" s="104"/>
      <c r="F3" s="104"/>
      <c r="G3" s="105"/>
    </row>
    <row r="4" spans="1:7" ht="20.25">
      <c r="A4" s="815" t="s">
        <v>494</v>
      </c>
      <c r="B4" s="815"/>
      <c r="C4" s="815"/>
      <c r="D4" s="815"/>
      <c r="E4" s="815"/>
      <c r="F4" s="815"/>
      <c r="G4" s="815"/>
    </row>
    <row r="5" spans="1:7" ht="19.5" thickBot="1">
      <c r="A5" s="1"/>
      <c r="B5" s="5"/>
      <c r="C5" s="3"/>
      <c r="D5" s="2"/>
      <c r="E5" s="2"/>
      <c r="F5" s="2"/>
      <c r="G5" s="106" t="s">
        <v>495</v>
      </c>
    </row>
    <row r="6" spans="1:7" ht="16.5" thickBot="1">
      <c r="A6" s="816" t="s">
        <v>496</v>
      </c>
      <c r="B6" s="817" t="s">
        <v>497</v>
      </c>
      <c r="C6" s="795" t="s">
        <v>1488</v>
      </c>
      <c r="D6" s="795" t="s">
        <v>1489</v>
      </c>
      <c r="E6" s="818" t="s">
        <v>1507</v>
      </c>
      <c r="F6" s="818"/>
      <c r="G6" s="819" t="s">
        <v>1532</v>
      </c>
    </row>
    <row r="7" spans="1:7" ht="60.75" customHeight="1" thickBot="1">
      <c r="A7" s="816"/>
      <c r="B7" s="817"/>
      <c r="C7" s="795"/>
      <c r="D7" s="795"/>
      <c r="E7" s="107" t="s">
        <v>7</v>
      </c>
      <c r="F7" s="108" t="s">
        <v>8</v>
      </c>
      <c r="G7" s="819"/>
    </row>
    <row r="8" spans="1:7" ht="37.5">
      <c r="A8" s="109" t="s">
        <v>498</v>
      </c>
      <c r="B8" s="110" t="s">
        <v>499</v>
      </c>
      <c r="C8" s="111">
        <v>89399794</v>
      </c>
      <c r="D8" s="111">
        <v>114704631</v>
      </c>
      <c r="E8" s="416">
        <v>86086444</v>
      </c>
      <c r="F8" s="87">
        <v>72375177</v>
      </c>
      <c r="G8" s="112">
        <f>F8/E8</f>
        <v>0.8407267583267813</v>
      </c>
    </row>
    <row r="9" spans="1:7" ht="37.5">
      <c r="A9" s="113" t="s">
        <v>500</v>
      </c>
      <c r="B9" s="114" t="s">
        <v>501</v>
      </c>
      <c r="C9" s="115">
        <v>124205198.68</v>
      </c>
      <c r="D9" s="115">
        <v>163630002</v>
      </c>
      <c r="E9" s="415">
        <v>122805198</v>
      </c>
      <c r="F9" s="418">
        <v>100728616</v>
      </c>
      <c r="G9" s="112">
        <f>F9/E9</f>
        <v>0.8202308830608294</v>
      </c>
    </row>
    <row r="10" spans="1:7" ht="37.5">
      <c r="A10" s="113" t="s">
        <v>502</v>
      </c>
      <c r="B10" s="114" t="s">
        <v>503</v>
      </c>
      <c r="C10" s="115">
        <v>146360677.9</v>
      </c>
      <c r="D10" s="115">
        <v>192919772</v>
      </c>
      <c r="E10" s="415">
        <v>144787329</v>
      </c>
      <c r="F10" s="418">
        <v>118003587</v>
      </c>
      <c r="G10" s="112">
        <f>F10/E10</f>
        <v>0.8150132184564299</v>
      </c>
    </row>
    <row r="11" spans="1:7" ht="18.75">
      <c r="A11" s="113" t="s">
        <v>504</v>
      </c>
      <c r="B11" s="114" t="s">
        <v>505</v>
      </c>
      <c r="C11" s="115"/>
      <c r="D11" s="115">
        <v>131</v>
      </c>
      <c r="E11" s="415">
        <v>132</v>
      </c>
      <c r="F11" s="418">
        <v>132</v>
      </c>
      <c r="G11" s="116"/>
    </row>
    <row r="12" spans="1:7" ht="18.75">
      <c r="A12" s="113" t="s">
        <v>506</v>
      </c>
      <c r="B12" s="117" t="s">
        <v>507</v>
      </c>
      <c r="C12" s="115"/>
      <c r="D12" s="115">
        <v>131</v>
      </c>
      <c r="E12" s="417">
        <v>132</v>
      </c>
      <c r="F12" s="418">
        <v>131</v>
      </c>
      <c r="G12" s="116"/>
    </row>
    <row r="13" spans="1:7" ht="18.75">
      <c r="A13" s="113" t="s">
        <v>508</v>
      </c>
      <c r="B13" s="117" t="s">
        <v>509</v>
      </c>
      <c r="C13" s="115"/>
      <c r="D13" s="115"/>
      <c r="E13" s="417"/>
      <c r="F13" s="418">
        <v>1</v>
      </c>
      <c r="G13" s="116"/>
    </row>
    <row r="14" spans="1:7" ht="18.75">
      <c r="A14" s="113" t="s">
        <v>510</v>
      </c>
      <c r="B14" s="118" t="s">
        <v>511</v>
      </c>
      <c r="C14" s="115"/>
      <c r="D14" s="115"/>
      <c r="E14" s="417"/>
      <c r="F14" s="418"/>
      <c r="G14" s="116"/>
    </row>
    <row r="15" spans="1:7" ht="18.75">
      <c r="A15" s="113" t="s">
        <v>512</v>
      </c>
      <c r="B15" s="118" t="s">
        <v>513</v>
      </c>
      <c r="C15" s="119"/>
      <c r="D15" s="119"/>
      <c r="E15" s="417"/>
      <c r="F15" s="418"/>
      <c r="G15" s="116"/>
    </row>
    <row r="16" spans="1:14" ht="18.75">
      <c r="A16" s="113" t="s">
        <v>514</v>
      </c>
      <c r="B16" s="118" t="s">
        <v>515</v>
      </c>
      <c r="C16" s="119"/>
      <c r="D16" s="119"/>
      <c r="E16" s="417"/>
      <c r="F16" s="418"/>
      <c r="G16" s="116"/>
      <c r="N16" t="s">
        <v>1520</v>
      </c>
    </row>
    <row r="17" spans="1:7" ht="18.75">
      <c r="A17" s="113" t="s">
        <v>516</v>
      </c>
      <c r="B17" s="118" t="s">
        <v>517</v>
      </c>
      <c r="C17" s="119"/>
      <c r="D17" s="119"/>
      <c r="E17" s="417"/>
      <c r="F17" s="418"/>
      <c r="G17" s="116"/>
    </row>
    <row r="18" spans="1:7" ht="18.75">
      <c r="A18" s="113" t="s">
        <v>518</v>
      </c>
      <c r="B18" s="120" t="s">
        <v>519</v>
      </c>
      <c r="C18" s="122">
        <v>6930281.56</v>
      </c>
      <c r="D18" s="122">
        <v>8000000</v>
      </c>
      <c r="E18" s="415">
        <v>6000000</v>
      </c>
      <c r="F18" s="418">
        <v>6262330</v>
      </c>
      <c r="G18" s="112">
        <f>F18/E18</f>
        <v>1.0437216666666667</v>
      </c>
    </row>
    <row r="19" spans="1:7" ht="18.75">
      <c r="A19" s="113" t="s">
        <v>520</v>
      </c>
      <c r="B19" s="121" t="s">
        <v>521</v>
      </c>
      <c r="C19" s="772">
        <v>12</v>
      </c>
      <c r="D19" s="772">
        <v>13</v>
      </c>
      <c r="E19" s="773">
        <v>13</v>
      </c>
      <c r="F19" s="774">
        <v>12</v>
      </c>
      <c r="G19" s="775"/>
    </row>
    <row r="20" spans="1:10" ht="18.75">
      <c r="A20" s="113" t="s">
        <v>522</v>
      </c>
      <c r="B20" s="771" t="s">
        <v>523</v>
      </c>
      <c r="C20" s="778"/>
      <c r="D20" s="778"/>
      <c r="E20" s="778"/>
      <c r="F20" s="448"/>
      <c r="G20" s="779"/>
      <c r="J20" t="s">
        <v>1521</v>
      </c>
    </row>
    <row r="21" spans="1:11" ht="18.75">
      <c r="A21" s="113" t="s">
        <v>524</v>
      </c>
      <c r="B21" s="118" t="s">
        <v>525</v>
      </c>
      <c r="C21" s="776"/>
      <c r="D21" s="776"/>
      <c r="E21" s="777"/>
      <c r="F21" s="87"/>
      <c r="G21" s="112"/>
      <c r="K21" t="s">
        <v>1523</v>
      </c>
    </row>
    <row r="22" spans="1:7" ht="18.75">
      <c r="A22" s="113" t="s">
        <v>526</v>
      </c>
      <c r="B22" s="120" t="s">
        <v>527</v>
      </c>
      <c r="C22" s="122"/>
      <c r="D22" s="122"/>
      <c r="E22" s="417"/>
      <c r="F22" s="418"/>
      <c r="G22" s="116"/>
    </row>
    <row r="23" spans="1:7" ht="18.75">
      <c r="A23" s="113" t="s">
        <v>528</v>
      </c>
      <c r="B23" s="120" t="s">
        <v>529</v>
      </c>
      <c r="C23" s="122"/>
      <c r="D23" s="122"/>
      <c r="E23" s="417"/>
      <c r="F23" s="418"/>
      <c r="G23" s="116"/>
    </row>
    <row r="24" spans="1:7" ht="18.75">
      <c r="A24" s="113" t="s">
        <v>530</v>
      </c>
      <c r="B24" s="120" t="s">
        <v>531</v>
      </c>
      <c r="C24" s="122"/>
      <c r="D24" s="122"/>
      <c r="E24" s="415"/>
      <c r="F24" s="418"/>
      <c r="G24" s="116"/>
    </row>
    <row r="25" spans="1:10" ht="18.75">
      <c r="A25" s="113" t="s">
        <v>532</v>
      </c>
      <c r="B25" s="120" t="s">
        <v>533</v>
      </c>
      <c r="C25" s="122"/>
      <c r="D25" s="122"/>
      <c r="E25" s="415"/>
      <c r="F25" s="418"/>
      <c r="G25" s="116"/>
      <c r="J25" t="s">
        <v>1522</v>
      </c>
    </row>
    <row r="26" spans="1:7" ht="18.75">
      <c r="A26" s="113" t="s">
        <v>534</v>
      </c>
      <c r="B26" s="120" t="s">
        <v>535</v>
      </c>
      <c r="C26" s="122">
        <v>1234177</v>
      </c>
      <c r="D26" s="122">
        <v>1234000</v>
      </c>
      <c r="E26" s="415">
        <v>927000</v>
      </c>
      <c r="F26" s="418">
        <v>822785</v>
      </c>
      <c r="G26" s="112">
        <f>F26/E26</f>
        <v>0.8875782092772384</v>
      </c>
    </row>
    <row r="27" spans="1:7" ht="18.75">
      <c r="A27" s="113" t="s">
        <v>536</v>
      </c>
      <c r="B27" s="120" t="s">
        <v>537</v>
      </c>
      <c r="C27" s="122">
        <v>3</v>
      </c>
      <c r="D27" s="122">
        <v>3</v>
      </c>
      <c r="E27" s="415">
        <v>3</v>
      </c>
      <c r="F27" s="418">
        <v>3</v>
      </c>
      <c r="G27" s="116"/>
    </row>
    <row r="28" spans="1:7" ht="18.75">
      <c r="A28" s="113" t="s">
        <v>538</v>
      </c>
      <c r="B28" s="120" t="s">
        <v>539</v>
      </c>
      <c r="C28" s="122">
        <v>5798363.59</v>
      </c>
      <c r="D28" s="122">
        <v>6000000</v>
      </c>
      <c r="E28" s="415">
        <v>4500000</v>
      </c>
      <c r="F28" s="418">
        <v>3467024</v>
      </c>
      <c r="G28" s="112">
        <f>F28/E28</f>
        <v>0.7704497777777778</v>
      </c>
    </row>
    <row r="29" spans="1:7" ht="18.75">
      <c r="A29" s="113" t="s">
        <v>540</v>
      </c>
      <c r="B29" s="120" t="s">
        <v>541</v>
      </c>
      <c r="C29" s="122">
        <v>24664</v>
      </c>
      <c r="D29" s="122">
        <v>150000</v>
      </c>
      <c r="E29" s="415">
        <v>114000</v>
      </c>
      <c r="F29" s="418">
        <v>25045</v>
      </c>
      <c r="G29" s="112"/>
    </row>
    <row r="30" spans="1:7" ht="27.75" customHeight="1">
      <c r="A30" s="123" t="s">
        <v>542</v>
      </c>
      <c r="B30" s="422" t="s">
        <v>543</v>
      </c>
      <c r="C30" s="122"/>
      <c r="D30" s="122">
        <v>150000</v>
      </c>
      <c r="E30" s="415">
        <v>114000</v>
      </c>
      <c r="F30" s="418"/>
      <c r="G30" s="112"/>
    </row>
    <row r="31" spans="1:7" ht="18.75">
      <c r="A31" s="113" t="s">
        <v>544</v>
      </c>
      <c r="B31" s="120" t="s">
        <v>545</v>
      </c>
      <c r="C31" s="122">
        <v>668638</v>
      </c>
      <c r="D31" s="122">
        <v>240000</v>
      </c>
      <c r="E31" s="415"/>
      <c r="F31" s="418">
        <v>928525</v>
      </c>
      <c r="G31" s="112"/>
    </row>
    <row r="32" spans="1:7" ht="18.75">
      <c r="A32" s="113" t="s">
        <v>546</v>
      </c>
      <c r="B32" s="120" t="s">
        <v>547</v>
      </c>
      <c r="C32" s="122">
        <v>3</v>
      </c>
      <c r="D32" s="122">
        <v>1</v>
      </c>
      <c r="E32" s="421"/>
      <c r="F32" s="418">
        <v>3</v>
      </c>
      <c r="G32" s="116"/>
    </row>
    <row r="33" spans="1:7" ht="18.75">
      <c r="A33" s="113" t="s">
        <v>548</v>
      </c>
      <c r="B33" s="120" t="s">
        <v>549</v>
      </c>
      <c r="C33" s="122"/>
      <c r="D33" s="122">
        <v>4000000</v>
      </c>
      <c r="E33" s="415">
        <v>4000000</v>
      </c>
      <c r="F33" s="418"/>
      <c r="G33" s="116"/>
    </row>
    <row r="34" spans="1:7" ht="18.75">
      <c r="A34" s="113" t="s">
        <v>550</v>
      </c>
      <c r="B34" s="120" t="s">
        <v>551</v>
      </c>
      <c r="C34" s="122">
        <v>2569137.24</v>
      </c>
      <c r="D34" s="122">
        <v>1224000</v>
      </c>
      <c r="E34" s="415">
        <v>752000</v>
      </c>
      <c r="F34" s="418">
        <v>683849</v>
      </c>
      <c r="G34" s="112"/>
    </row>
    <row r="35" spans="1:7" ht="18.75">
      <c r="A35" s="113" t="s">
        <v>552</v>
      </c>
      <c r="B35" s="120" t="s">
        <v>547</v>
      </c>
      <c r="C35" s="122">
        <v>16</v>
      </c>
      <c r="D35" s="122">
        <v>9</v>
      </c>
      <c r="E35" s="415">
        <v>4</v>
      </c>
      <c r="F35" s="418">
        <v>5</v>
      </c>
      <c r="G35" s="116"/>
    </row>
    <row r="36" spans="1:7" ht="18.75">
      <c r="A36" s="113" t="s">
        <v>553</v>
      </c>
      <c r="B36" s="120" t="s">
        <v>554</v>
      </c>
      <c r="C36" s="122"/>
      <c r="D36" s="122"/>
      <c r="E36" s="415"/>
      <c r="F36" s="418"/>
      <c r="G36" s="116"/>
    </row>
    <row r="37" spans="1:7" ht="18.75">
      <c r="A37" s="113" t="s">
        <v>555</v>
      </c>
      <c r="B37" s="120" t="s">
        <v>556</v>
      </c>
      <c r="C37" s="122">
        <v>6428444.61</v>
      </c>
      <c r="D37" s="122">
        <v>7600000</v>
      </c>
      <c r="E37" s="415">
        <v>750000</v>
      </c>
      <c r="F37" s="418">
        <v>6553076</v>
      </c>
      <c r="G37" s="112">
        <f>F37/E37</f>
        <v>8.737434666666667</v>
      </c>
    </row>
    <row r="38" spans="1:7" ht="18.75">
      <c r="A38" s="113" t="s">
        <v>557</v>
      </c>
      <c r="B38" s="120" t="s">
        <v>558</v>
      </c>
      <c r="C38" s="122"/>
      <c r="D38" s="122"/>
      <c r="E38" s="420"/>
      <c r="F38" s="418"/>
      <c r="G38" s="116"/>
    </row>
    <row r="39" spans="1:7" ht="19.5" thickBot="1">
      <c r="A39" s="113" t="s">
        <v>559</v>
      </c>
      <c r="B39" s="124" t="s">
        <v>560</v>
      </c>
      <c r="C39" s="125">
        <v>1170361</v>
      </c>
      <c r="D39" s="125">
        <v>2150000</v>
      </c>
      <c r="E39" s="419">
        <v>1700000</v>
      </c>
      <c r="F39" s="419">
        <v>457557</v>
      </c>
      <c r="G39" s="126">
        <f>F39/E39</f>
        <v>0.2691511764705882</v>
      </c>
    </row>
    <row r="40" spans="1:7" ht="18.75">
      <c r="A40" s="127"/>
      <c r="B40" s="128" t="s">
        <v>561</v>
      </c>
      <c r="C40" s="129"/>
      <c r="D40" s="127"/>
      <c r="E40" s="127"/>
      <c r="F40" s="127"/>
      <c r="G40" s="130"/>
    </row>
    <row r="41" spans="1:7" ht="18.75">
      <c r="A41" s="127"/>
      <c r="B41" s="814" t="s">
        <v>562</v>
      </c>
      <c r="C41" s="814"/>
      <c r="D41" s="814"/>
      <c r="E41" s="814"/>
      <c r="F41" s="127"/>
      <c r="G41" s="130"/>
    </row>
    <row r="42" spans="1:7" ht="15.75">
      <c r="A42" s="73"/>
      <c r="B42" s="131"/>
      <c r="C42" s="132"/>
      <c r="D42" s="73"/>
      <c r="E42" s="73"/>
      <c r="F42" s="73"/>
      <c r="G42" s="133"/>
    </row>
    <row r="43" spans="1:7" ht="15.75">
      <c r="A43" s="812" t="s">
        <v>1542</v>
      </c>
      <c r="B43" s="812"/>
      <c r="C43" s="76" t="s">
        <v>492</v>
      </c>
      <c r="D43" s="813" t="s">
        <v>563</v>
      </c>
      <c r="E43" s="813"/>
      <c r="F43" s="813"/>
      <c r="G43" s="813"/>
    </row>
    <row r="44" spans="1:7" ht="15.75">
      <c r="A44" s="75"/>
      <c r="B44" s="75"/>
      <c r="D44" s="55"/>
      <c r="E44" s="76"/>
      <c r="F44" s="76"/>
      <c r="G44" s="134"/>
    </row>
    <row r="45" spans="1:7" ht="15.75">
      <c r="A45" s="73"/>
      <c r="B45" s="131"/>
      <c r="C45" s="132"/>
      <c r="D45" s="73"/>
      <c r="E45" s="73"/>
      <c r="F45" s="73"/>
      <c r="G45" s="133"/>
    </row>
  </sheetData>
  <sheetProtection/>
  <mergeCells count="10">
    <mergeCell ref="B41:E41"/>
    <mergeCell ref="A43:B43"/>
    <mergeCell ref="D43:G43"/>
    <mergeCell ref="A4:G4"/>
    <mergeCell ref="A6:A7"/>
    <mergeCell ref="B6:B7"/>
    <mergeCell ref="C6:C7"/>
    <mergeCell ref="D6:D7"/>
    <mergeCell ref="E6:F6"/>
    <mergeCell ref="G6:G7"/>
  </mergeCells>
  <printOptions/>
  <pageMargins left="0.11811023622047245" right="0.11811023622047245" top="0.7480314960629921" bottom="0.7480314960629921" header="0.31496062992125984" footer="0.31496062992125984"/>
  <pageSetup fitToWidth="0"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F29"/>
  <sheetViews>
    <sheetView zoomScalePageLayoutView="0" workbookViewId="0" topLeftCell="B1">
      <selection activeCell="C21" sqref="C21"/>
    </sheetView>
  </sheetViews>
  <sheetFormatPr defaultColWidth="9.140625" defaultRowHeight="15"/>
  <cols>
    <col min="1" max="1" width="25.7109375" style="0" customWidth="1"/>
    <col min="2" max="2" width="95.57421875" style="0" customWidth="1"/>
    <col min="3" max="3" width="41.7109375" style="0" customWidth="1"/>
    <col min="4" max="4" width="43.57421875" style="0" customWidth="1"/>
    <col min="5" max="5" width="35.00390625" style="0" customWidth="1"/>
    <col min="6" max="6" width="14.7109375" style="0" customWidth="1"/>
  </cols>
  <sheetData>
    <row r="1" spans="1:6" ht="15.75">
      <c r="A1" s="1"/>
      <c r="B1" s="1"/>
      <c r="C1" s="1"/>
      <c r="D1" s="1"/>
      <c r="E1" s="135" t="s">
        <v>564</v>
      </c>
      <c r="F1" s="136"/>
    </row>
    <row r="2" spans="1:6" ht="15.75">
      <c r="A2" s="5" t="s">
        <v>102</v>
      </c>
      <c r="B2" s="54"/>
      <c r="C2" s="137"/>
      <c r="D2" s="137"/>
      <c r="E2" s="138"/>
      <c r="F2" s="138"/>
    </row>
    <row r="3" spans="1:6" ht="15.75">
      <c r="A3" s="5" t="s">
        <v>2</v>
      </c>
      <c r="B3" s="54"/>
      <c r="C3" s="137"/>
      <c r="D3" s="137"/>
      <c r="E3" s="138"/>
      <c r="F3" s="138"/>
    </row>
    <row r="4" spans="1:6" ht="15.75">
      <c r="A4" s="1"/>
      <c r="B4" s="1"/>
      <c r="C4" s="1"/>
      <c r="D4" s="1"/>
      <c r="E4" s="136"/>
      <c r="F4" s="136"/>
    </row>
    <row r="5" spans="1:6" ht="15.75">
      <c r="A5" s="1"/>
      <c r="B5" s="1"/>
      <c r="C5" s="1"/>
      <c r="D5" s="1"/>
      <c r="E5" s="136"/>
      <c r="F5" s="136"/>
    </row>
    <row r="6" spans="1:6" ht="15.75">
      <c r="A6" s="821" t="s">
        <v>565</v>
      </c>
      <c r="B6" s="821"/>
      <c r="C6" s="821"/>
      <c r="D6" s="821"/>
      <c r="E6" s="821"/>
      <c r="F6" s="183"/>
    </row>
    <row r="7" spans="1:6" ht="16.5" thickBot="1">
      <c r="A7" s="1"/>
      <c r="B7" s="185"/>
      <c r="C7" s="185"/>
      <c r="D7" s="185"/>
      <c r="E7" s="185"/>
      <c r="F7" s="139"/>
    </row>
    <row r="8" spans="1:6" ht="16.5" thickBot="1">
      <c r="A8" s="807" t="s">
        <v>496</v>
      </c>
      <c r="B8" s="808" t="s">
        <v>566</v>
      </c>
      <c r="C8" s="809" t="s">
        <v>567</v>
      </c>
      <c r="D8" s="809" t="s">
        <v>568</v>
      </c>
      <c r="E8" s="798" t="s">
        <v>569</v>
      </c>
      <c r="F8" s="431"/>
    </row>
    <row r="9" spans="1:6" ht="16.5" thickBot="1">
      <c r="A9" s="807"/>
      <c r="B9" s="808"/>
      <c r="C9" s="809"/>
      <c r="D9" s="809"/>
      <c r="E9" s="798"/>
      <c r="F9" s="432"/>
    </row>
    <row r="10" spans="1:6" ht="15.75">
      <c r="A10" s="433"/>
      <c r="B10" s="760" t="s">
        <v>1537</v>
      </c>
      <c r="C10" s="434">
        <v>134</v>
      </c>
      <c r="D10" s="434">
        <v>1</v>
      </c>
      <c r="E10" s="379">
        <v>12</v>
      </c>
      <c r="F10" s="432"/>
    </row>
    <row r="11" spans="1:6" ht="15.75">
      <c r="A11" s="195" t="s">
        <v>498</v>
      </c>
      <c r="B11" s="435" t="s">
        <v>570</v>
      </c>
      <c r="C11" s="436"/>
      <c r="D11" s="436"/>
      <c r="E11" s="437"/>
      <c r="F11" s="136"/>
    </row>
    <row r="12" spans="1:6" ht="15.75">
      <c r="A12" s="195" t="s">
        <v>500</v>
      </c>
      <c r="B12" s="452" t="s">
        <v>1515</v>
      </c>
      <c r="C12" s="439"/>
      <c r="D12" s="436"/>
      <c r="E12" s="437"/>
      <c r="F12" s="136"/>
    </row>
    <row r="13" spans="1:6" ht="15.75">
      <c r="A13" s="195" t="s">
        <v>502</v>
      </c>
      <c r="B13" s="453" t="s">
        <v>1538</v>
      </c>
      <c r="C13" s="439">
        <v>1</v>
      </c>
      <c r="D13" s="436"/>
      <c r="E13" s="437"/>
      <c r="F13" s="136"/>
    </row>
    <row r="14" spans="1:6" ht="15.75">
      <c r="A14" s="195" t="s">
        <v>504</v>
      </c>
      <c r="B14" s="438" t="s">
        <v>1517</v>
      </c>
      <c r="C14" s="439">
        <v>1</v>
      </c>
      <c r="D14" s="436"/>
      <c r="E14" s="437"/>
      <c r="F14" s="136"/>
    </row>
    <row r="15" spans="1:6" ht="15.75">
      <c r="A15" s="195" t="s">
        <v>571</v>
      </c>
      <c r="B15" s="438"/>
      <c r="C15" s="436"/>
      <c r="D15" s="436"/>
      <c r="E15" s="437"/>
      <c r="F15" s="136"/>
    </row>
    <row r="16" spans="1:6" ht="15.75">
      <c r="A16" s="440"/>
      <c r="B16" s="438"/>
      <c r="C16" s="436"/>
      <c r="D16" s="436"/>
      <c r="E16" s="437"/>
      <c r="F16" s="136"/>
    </row>
    <row r="17" spans="1:6" ht="15.75">
      <c r="A17" s="195" t="s">
        <v>572</v>
      </c>
      <c r="B17" s="435" t="s">
        <v>573</v>
      </c>
      <c r="C17" s="436"/>
      <c r="D17" s="436"/>
      <c r="E17" s="437"/>
      <c r="F17" s="136"/>
    </row>
    <row r="18" spans="1:6" ht="15.75">
      <c r="A18" s="195" t="s">
        <v>574</v>
      </c>
      <c r="B18" s="441" t="s">
        <v>1516</v>
      </c>
      <c r="C18" s="439"/>
      <c r="D18" s="439"/>
      <c r="E18" s="437"/>
      <c r="F18" s="136"/>
    </row>
    <row r="19" spans="1:6" ht="15.75">
      <c r="A19" s="195" t="s">
        <v>575</v>
      </c>
      <c r="B19" s="441" t="s">
        <v>1518</v>
      </c>
      <c r="C19" s="436"/>
      <c r="D19" s="436"/>
      <c r="E19" s="337"/>
      <c r="F19" s="136"/>
    </row>
    <row r="20" spans="1:6" ht="15.75">
      <c r="A20" s="195" t="s">
        <v>576</v>
      </c>
      <c r="B20" s="441"/>
      <c r="C20" s="436"/>
      <c r="D20" s="436"/>
      <c r="E20" s="437"/>
      <c r="F20" s="136"/>
    </row>
    <row r="21" spans="1:6" ht="16.5" thickBot="1">
      <c r="A21" s="442"/>
      <c r="B21" s="443" t="s">
        <v>1533</v>
      </c>
      <c r="C21" s="444">
        <v>132</v>
      </c>
      <c r="D21" s="444">
        <v>1</v>
      </c>
      <c r="E21" s="445">
        <v>12</v>
      </c>
      <c r="F21" s="139"/>
    </row>
    <row r="22" spans="1:6" ht="15.75">
      <c r="A22" s="446"/>
      <c r="B22" s="380"/>
      <c r="C22" s="136"/>
      <c r="D22" s="136"/>
      <c r="E22" s="136"/>
      <c r="F22" s="136"/>
    </row>
    <row r="23" spans="1:6" ht="15.75">
      <c r="A23" s="1"/>
      <c r="B23" s="1"/>
      <c r="C23" s="1"/>
      <c r="D23" s="1"/>
      <c r="E23" s="136"/>
      <c r="F23" s="136"/>
    </row>
    <row r="24" spans="1:6" ht="15.75">
      <c r="A24" s="1"/>
      <c r="B24" s="1" t="s">
        <v>577</v>
      </c>
      <c r="C24" s="1"/>
      <c r="D24" s="1"/>
      <c r="E24" s="136"/>
      <c r="F24" s="136"/>
    </row>
    <row r="25" spans="1:6" ht="15.75">
      <c r="A25" s="1"/>
      <c r="B25" s="1" t="s">
        <v>578</v>
      </c>
      <c r="C25" s="1"/>
      <c r="D25" s="1"/>
      <c r="E25" s="136"/>
      <c r="F25" s="136"/>
    </row>
    <row r="26" spans="1:6" ht="15.75">
      <c r="A26" s="1"/>
      <c r="B26" s="75" t="s">
        <v>1465</v>
      </c>
      <c r="C26" s="1"/>
      <c r="D26" s="1"/>
      <c r="E26" s="136"/>
      <c r="F26" s="136"/>
    </row>
    <row r="27" spans="1:6" ht="15.75">
      <c r="A27" s="1"/>
      <c r="B27" s="1"/>
      <c r="C27" s="1"/>
      <c r="D27" s="1"/>
      <c r="E27" s="136"/>
      <c r="F27" s="136"/>
    </row>
    <row r="28" spans="1:6" ht="15.75">
      <c r="A28" s="245"/>
      <c r="B28" s="447" t="s">
        <v>1542</v>
      </c>
      <c r="C28" s="1"/>
      <c r="D28" s="820" t="s">
        <v>579</v>
      </c>
      <c r="E28" s="820"/>
      <c r="F28" s="820"/>
    </row>
    <row r="29" spans="1:6" ht="15.75">
      <c r="A29" s="1"/>
      <c r="B29" s="1"/>
      <c r="C29" s="55" t="s">
        <v>101</v>
      </c>
      <c r="D29" s="1"/>
      <c r="E29" s="136"/>
      <c r="F29" s="136"/>
    </row>
  </sheetData>
  <sheetProtection/>
  <mergeCells count="7">
    <mergeCell ref="D28:F28"/>
    <mergeCell ref="A6:E6"/>
    <mergeCell ref="A8:A9"/>
    <mergeCell ref="B8:B9"/>
    <mergeCell ref="C8:C9"/>
    <mergeCell ref="D8:D9"/>
    <mergeCell ref="E8:E9"/>
  </mergeCells>
  <printOptions/>
  <pageMargins left="0.31496062992125984" right="0" top="0.7480314960629921" bottom="0.7480314960629921" header="0.31496062992125984" footer="0.31496062992125984"/>
  <pageSetup fitToHeight="1" fitToWidth="1" horizontalDpi="600" verticalDpi="600" orientation="landscape" scale="52"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P427"/>
  <sheetViews>
    <sheetView zoomScale="55" zoomScaleNormal="55" zoomScalePageLayoutView="0" workbookViewId="0" topLeftCell="A295">
      <selection activeCell="C424" sqref="C424"/>
    </sheetView>
  </sheetViews>
  <sheetFormatPr defaultColWidth="9.140625" defaultRowHeight="15"/>
  <cols>
    <col min="1" max="1" width="18.421875" style="731" customWidth="1"/>
    <col min="2" max="2" width="19.57421875" style="731" customWidth="1"/>
    <col min="3" max="4" width="30.140625" style="731" customWidth="1"/>
    <col min="5" max="5" width="44.421875" style="757" customWidth="1"/>
    <col min="6" max="11" width="30.140625" style="732" customWidth="1"/>
  </cols>
  <sheetData>
    <row r="1" spans="1:16" ht="26.25">
      <c r="A1" s="469"/>
      <c r="B1" s="469"/>
      <c r="C1" s="469"/>
      <c r="D1" s="469"/>
      <c r="E1" s="734"/>
      <c r="F1" s="470"/>
      <c r="G1" s="470"/>
      <c r="H1" s="470"/>
      <c r="I1" s="470"/>
      <c r="J1" s="470"/>
      <c r="K1" s="470"/>
      <c r="L1" s="1"/>
      <c r="M1" s="1"/>
      <c r="N1" s="1"/>
      <c r="O1" s="1"/>
      <c r="P1" s="1"/>
    </row>
    <row r="2" spans="1:16" ht="26.25">
      <c r="A2" s="469"/>
      <c r="B2" s="471" t="s">
        <v>1</v>
      </c>
      <c r="C2" s="469"/>
      <c r="D2" s="469"/>
      <c r="E2" s="734"/>
      <c r="F2" s="470"/>
      <c r="G2" s="470"/>
      <c r="H2" s="470"/>
      <c r="I2" s="822" t="s">
        <v>580</v>
      </c>
      <c r="J2" s="822"/>
      <c r="K2" s="822"/>
      <c r="L2" s="1"/>
      <c r="M2" s="1"/>
      <c r="N2" s="1"/>
      <c r="O2" s="1"/>
      <c r="P2" s="1"/>
    </row>
    <row r="3" spans="1:16" ht="26.25">
      <c r="A3" s="469"/>
      <c r="B3" s="471" t="s">
        <v>581</v>
      </c>
      <c r="C3" s="469"/>
      <c r="D3" s="469"/>
      <c r="E3" s="734"/>
      <c r="F3" s="470"/>
      <c r="G3" s="470"/>
      <c r="H3" s="470"/>
      <c r="I3" s="470"/>
      <c r="J3" s="470"/>
      <c r="K3" s="470"/>
      <c r="L3" s="1"/>
      <c r="M3" s="1"/>
      <c r="N3" s="1"/>
      <c r="O3" s="1"/>
      <c r="P3" s="1"/>
    </row>
    <row r="4" spans="1:16" ht="26.25">
      <c r="A4" s="469"/>
      <c r="B4" s="469"/>
      <c r="C4" s="469"/>
      <c r="D4" s="469"/>
      <c r="E4" s="735"/>
      <c r="F4" s="470"/>
      <c r="G4" s="470"/>
      <c r="H4" s="470"/>
      <c r="I4" s="470"/>
      <c r="J4" s="470"/>
      <c r="K4" s="470"/>
      <c r="L4" s="1"/>
      <c r="M4" s="1"/>
      <c r="N4" s="1"/>
      <c r="O4" s="1"/>
      <c r="P4" s="1"/>
    </row>
    <row r="5" spans="1:16" ht="26.25">
      <c r="A5" s="472"/>
      <c r="B5" s="473"/>
      <c r="C5" s="474"/>
      <c r="D5" s="474"/>
      <c r="E5" s="736"/>
      <c r="F5" s="474"/>
      <c r="G5" s="474"/>
      <c r="H5" s="474"/>
      <c r="I5" s="823"/>
      <c r="J5" s="823"/>
      <c r="K5" s="823"/>
      <c r="L5" s="823"/>
      <c r="M5" s="824"/>
      <c r="N5" s="824"/>
      <c r="O5" s="824"/>
      <c r="P5" s="824"/>
    </row>
    <row r="6" spans="1:16" ht="25.5">
      <c r="A6" s="475"/>
      <c r="B6" s="825" t="s">
        <v>1467</v>
      </c>
      <c r="C6" s="825"/>
      <c r="D6" s="825"/>
      <c r="E6" s="825"/>
      <c r="F6" s="825"/>
      <c r="G6" s="825"/>
      <c r="H6" s="825"/>
      <c r="I6" s="825"/>
      <c r="J6" s="825"/>
      <c r="K6" s="476"/>
      <c r="L6" s="1"/>
      <c r="M6" s="1"/>
      <c r="N6" s="1"/>
      <c r="O6" s="1"/>
      <c r="P6" s="1"/>
    </row>
    <row r="7" spans="1:16" ht="26.25" thickBot="1">
      <c r="A7" s="475"/>
      <c r="B7" s="826"/>
      <c r="C7" s="826"/>
      <c r="D7" s="826"/>
      <c r="E7" s="826"/>
      <c r="F7" s="826"/>
      <c r="G7" s="826"/>
      <c r="H7" s="826"/>
      <c r="I7" s="826"/>
      <c r="J7" s="826"/>
      <c r="K7" s="476"/>
      <c r="L7" s="1"/>
      <c r="M7" s="1"/>
      <c r="N7" s="1"/>
      <c r="O7" s="1"/>
      <c r="P7" s="1"/>
    </row>
    <row r="8" spans="1:16" ht="103.5" thickBot="1" thickTop="1">
      <c r="A8" s="827" t="s">
        <v>582</v>
      </c>
      <c r="B8" s="828"/>
      <c r="C8" s="478" t="s">
        <v>583</v>
      </c>
      <c r="D8" s="479" t="s">
        <v>584</v>
      </c>
      <c r="E8" s="477" t="s">
        <v>585</v>
      </c>
      <c r="F8" s="480" t="s">
        <v>586</v>
      </c>
      <c r="G8" s="481" t="s">
        <v>587</v>
      </c>
      <c r="H8" s="482" t="s">
        <v>588</v>
      </c>
      <c r="I8" s="483" t="s">
        <v>589</v>
      </c>
      <c r="J8" s="484" t="s">
        <v>590</v>
      </c>
      <c r="K8" s="485" t="s">
        <v>591</v>
      </c>
      <c r="L8" s="1"/>
      <c r="M8" s="1"/>
      <c r="N8" s="1"/>
      <c r="O8" s="1"/>
      <c r="P8" s="1"/>
    </row>
    <row r="9" spans="1:16" ht="25.5">
      <c r="A9" s="486"/>
      <c r="B9" s="487"/>
      <c r="C9" s="488"/>
      <c r="D9" s="489"/>
      <c r="E9" s="487"/>
      <c r="F9" s="490"/>
      <c r="G9" s="491"/>
      <c r="H9" s="492"/>
      <c r="I9" s="487"/>
      <c r="J9" s="493"/>
      <c r="K9" s="494">
        <v>1.2</v>
      </c>
      <c r="L9" s="1"/>
      <c r="M9" s="1"/>
      <c r="N9" s="1"/>
      <c r="O9" s="1"/>
      <c r="P9" s="1"/>
    </row>
    <row r="10" spans="1:16" ht="27" thickBot="1">
      <c r="A10" s="829" t="s">
        <v>592</v>
      </c>
      <c r="B10" s="830"/>
      <c r="C10" s="495"/>
      <c r="D10" s="496"/>
      <c r="E10" s="737" t="s">
        <v>593</v>
      </c>
      <c r="F10" s="497"/>
      <c r="G10" s="498"/>
      <c r="H10" s="499"/>
      <c r="I10" s="500"/>
      <c r="J10" s="501"/>
      <c r="K10" s="502"/>
      <c r="L10" s="1"/>
      <c r="M10" s="1"/>
      <c r="N10" s="1"/>
      <c r="O10" s="1"/>
      <c r="P10" s="1"/>
    </row>
    <row r="11" spans="1:16" ht="26.25">
      <c r="A11" s="503"/>
      <c r="B11" s="504"/>
      <c r="C11" s="505"/>
      <c r="D11" s="506"/>
      <c r="E11" s="738"/>
      <c r="F11" s="507"/>
      <c r="G11" s="508"/>
      <c r="H11" s="509"/>
      <c r="I11" s="510"/>
      <c r="J11" s="511"/>
      <c r="K11" s="512"/>
      <c r="L11" s="1"/>
      <c r="M11" s="1"/>
      <c r="N11" s="1"/>
      <c r="O11" s="1"/>
      <c r="P11" s="1"/>
    </row>
    <row r="12" spans="1:16" ht="26.25">
      <c r="A12" s="513" t="str">
        <f>+A10</f>
        <v>А .</v>
      </c>
      <c r="B12" s="514" t="s">
        <v>594</v>
      </c>
      <c r="C12" s="515" t="s">
        <v>595</v>
      </c>
      <c r="D12" s="516" t="s">
        <v>596</v>
      </c>
      <c r="E12" s="555" t="s">
        <v>597</v>
      </c>
      <c r="F12" s="517" t="s">
        <v>1468</v>
      </c>
      <c r="G12" s="518">
        <f>+J12-I12</f>
        <v>220.23406</v>
      </c>
      <c r="H12" s="519">
        <v>0</v>
      </c>
      <c r="I12" s="520">
        <f>560.78*0.123</f>
        <v>68.97594</v>
      </c>
      <c r="J12" s="521">
        <v>289.21</v>
      </c>
      <c r="K12" s="522">
        <f>+$K12*$L$5</f>
        <v>347.05199999999996</v>
      </c>
      <c r="L12" s="1"/>
      <c r="M12" s="1"/>
      <c r="N12" s="1"/>
      <c r="O12" s="1"/>
      <c r="P12" s="1"/>
    </row>
    <row r="13" spans="1:16" ht="52.5">
      <c r="A13" s="513" t="str">
        <f>+A12</f>
        <v>А .</v>
      </c>
      <c r="B13" s="514" t="s">
        <v>598</v>
      </c>
      <c r="C13" s="515" t="s">
        <v>599</v>
      </c>
      <c r="D13" s="516" t="s">
        <v>600</v>
      </c>
      <c r="E13" s="555" t="s">
        <v>601</v>
      </c>
      <c r="F13" s="523" t="s">
        <v>602</v>
      </c>
      <c r="G13" s="524">
        <f>0.05*0.5*0.5*2300*2*2</f>
        <v>115</v>
      </c>
      <c r="H13" s="519">
        <v>0</v>
      </c>
      <c r="I13" s="520">
        <f>+I16*2</f>
        <v>296.22</v>
      </c>
      <c r="J13" s="521">
        <v>411.22</v>
      </c>
      <c r="K13" s="522">
        <f aca="true" t="shared" si="0" ref="K13:K24">+$K13*$L$5</f>
        <v>493.464</v>
      </c>
      <c r="L13" s="1"/>
      <c r="M13" s="1"/>
      <c r="N13" s="1"/>
      <c r="O13" s="1"/>
      <c r="P13" s="1"/>
    </row>
    <row r="14" spans="1:16" ht="52.5">
      <c r="A14" s="513" t="str">
        <f aca="true" t="shared" si="1" ref="A14:A24">+A13</f>
        <v>А .</v>
      </c>
      <c r="B14" s="514" t="s">
        <v>603</v>
      </c>
      <c r="C14" s="515" t="s">
        <v>604</v>
      </c>
      <c r="D14" s="525" t="s">
        <v>605</v>
      </c>
      <c r="E14" s="555" t="s">
        <v>606</v>
      </c>
      <c r="F14" s="523" t="s">
        <v>602</v>
      </c>
      <c r="G14" s="524">
        <v>755</v>
      </c>
      <c r="H14" s="519">
        <v>0</v>
      </c>
      <c r="I14" s="520">
        <f>+J14-(G14+H14)</f>
        <v>808.5799999999999</v>
      </c>
      <c r="J14" s="521">
        <v>1563.58</v>
      </c>
      <c r="K14" s="522">
        <f t="shared" si="0"/>
        <v>1876.2959999999998</v>
      </c>
      <c r="L14" s="1"/>
      <c r="M14" s="1"/>
      <c r="N14" s="1"/>
      <c r="O14" s="1"/>
      <c r="P14" s="1"/>
    </row>
    <row r="15" spans="1:16" ht="26.25">
      <c r="A15" s="513" t="str">
        <f t="shared" si="1"/>
        <v>А .</v>
      </c>
      <c r="B15" s="514" t="s">
        <v>607</v>
      </c>
      <c r="C15" s="515" t="s">
        <v>608</v>
      </c>
      <c r="D15" s="516" t="s">
        <v>609</v>
      </c>
      <c r="E15" s="555" t="s">
        <v>610</v>
      </c>
      <c r="F15" s="523" t="s">
        <v>611</v>
      </c>
      <c r="G15" s="524">
        <f>0.05*0.5*0.5*2300</f>
        <v>28.75</v>
      </c>
      <c r="H15" s="519">
        <v>0</v>
      </c>
      <c r="I15" s="520">
        <f>+J15-(G15+H15)</f>
        <v>77.64</v>
      </c>
      <c r="J15" s="521">
        <v>106.39</v>
      </c>
      <c r="K15" s="522">
        <f t="shared" si="0"/>
        <v>127.66799999999999</v>
      </c>
      <c r="L15" s="1"/>
      <c r="M15" s="1"/>
      <c r="N15" s="1"/>
      <c r="O15" s="1"/>
      <c r="P15" s="1"/>
    </row>
    <row r="16" spans="1:16" ht="52.5">
      <c r="A16" s="513" t="str">
        <f t="shared" si="1"/>
        <v>А .</v>
      </c>
      <c r="B16" s="514" t="s">
        <v>612</v>
      </c>
      <c r="C16" s="515" t="s">
        <v>613</v>
      </c>
      <c r="D16" s="516" t="s">
        <v>614</v>
      </c>
      <c r="E16" s="555" t="s">
        <v>615</v>
      </c>
      <c r="F16" s="523" t="s">
        <v>611</v>
      </c>
      <c r="G16" s="524">
        <f>0.05*0.5*0.5*2300*2</f>
        <v>57.5</v>
      </c>
      <c r="H16" s="519">
        <v>0</v>
      </c>
      <c r="I16" s="520">
        <f>+J16-(G16+H16)</f>
        <v>148.11</v>
      </c>
      <c r="J16" s="521">
        <v>205.61</v>
      </c>
      <c r="K16" s="522">
        <f t="shared" si="0"/>
        <v>246.732</v>
      </c>
      <c r="L16" s="1"/>
      <c r="M16" s="1"/>
      <c r="N16" s="1"/>
      <c r="O16" s="1"/>
      <c r="P16" s="1"/>
    </row>
    <row r="17" spans="1:16" ht="78.75">
      <c r="A17" s="513" t="str">
        <f t="shared" si="1"/>
        <v>А .</v>
      </c>
      <c r="B17" s="514" t="s">
        <v>616</v>
      </c>
      <c r="C17" s="526" t="s">
        <v>617</v>
      </c>
      <c r="D17" s="527"/>
      <c r="E17" s="560" t="s">
        <v>618</v>
      </c>
      <c r="F17" s="517" t="s">
        <v>1468</v>
      </c>
      <c r="G17" s="524">
        <v>110</v>
      </c>
      <c r="H17" s="528">
        <f>+G17*0.1</f>
        <v>11</v>
      </c>
      <c r="I17" s="520">
        <f>+J17-(G17+H17)</f>
        <v>179</v>
      </c>
      <c r="J17" s="529">
        <v>300</v>
      </c>
      <c r="K17" s="530">
        <f t="shared" si="0"/>
        <v>360</v>
      </c>
      <c r="L17" s="1"/>
      <c r="M17" s="1"/>
      <c r="N17" s="1"/>
      <c r="O17" s="1"/>
      <c r="P17" s="1"/>
    </row>
    <row r="18" spans="1:16" ht="78.75">
      <c r="A18" s="513" t="str">
        <f t="shared" si="1"/>
        <v>А .</v>
      </c>
      <c r="B18" s="514" t="s">
        <v>619</v>
      </c>
      <c r="C18" s="526" t="s">
        <v>620</v>
      </c>
      <c r="D18" s="527"/>
      <c r="E18" s="560" t="s">
        <v>621</v>
      </c>
      <c r="F18" s="517" t="s">
        <v>1468</v>
      </c>
      <c r="G18" s="524">
        <f>+(J18-I18)*0.9</f>
        <v>153.9</v>
      </c>
      <c r="H18" s="528">
        <f>+J18-(G18+I18)</f>
        <v>17.100000000000023</v>
      </c>
      <c r="I18" s="520">
        <v>179</v>
      </c>
      <c r="J18" s="529">
        <v>350</v>
      </c>
      <c r="K18" s="530">
        <f t="shared" si="0"/>
        <v>420</v>
      </c>
      <c r="L18" s="1"/>
      <c r="M18" s="1"/>
      <c r="N18" s="1"/>
      <c r="O18" s="1"/>
      <c r="P18" s="1"/>
    </row>
    <row r="19" spans="1:16" ht="78.75">
      <c r="A19" s="513" t="str">
        <f t="shared" si="1"/>
        <v>А .</v>
      </c>
      <c r="B19" s="514" t="s">
        <v>622</v>
      </c>
      <c r="C19" s="526" t="s">
        <v>623</v>
      </c>
      <c r="D19" s="527"/>
      <c r="E19" s="560" t="s">
        <v>624</v>
      </c>
      <c r="F19" s="517" t="s">
        <v>1468</v>
      </c>
      <c r="G19" s="524">
        <f>+(J19-I19)*0.9</f>
        <v>270.90000000000003</v>
      </c>
      <c r="H19" s="528">
        <f>+J19-(G19+I19)</f>
        <v>30.099999999999966</v>
      </c>
      <c r="I19" s="520">
        <v>179</v>
      </c>
      <c r="J19" s="529">
        <v>480</v>
      </c>
      <c r="K19" s="530">
        <f t="shared" si="0"/>
        <v>576</v>
      </c>
      <c r="L19" s="1"/>
      <c r="M19" s="1"/>
      <c r="N19" s="1"/>
      <c r="O19" s="1"/>
      <c r="P19" s="1"/>
    </row>
    <row r="20" spans="1:16" ht="78.75">
      <c r="A20" s="513" t="str">
        <f t="shared" si="1"/>
        <v>А .</v>
      </c>
      <c r="B20" s="514" t="s">
        <v>625</v>
      </c>
      <c r="C20" s="526" t="s">
        <v>626</v>
      </c>
      <c r="D20" s="527"/>
      <c r="E20" s="560" t="s">
        <v>627</v>
      </c>
      <c r="F20" s="517" t="s">
        <v>1468</v>
      </c>
      <c r="G20" s="524">
        <f>+(J20-I20)*0.9</f>
        <v>423.90000000000003</v>
      </c>
      <c r="H20" s="528">
        <f>+J20-(G20+I20)</f>
        <v>47.09999999999991</v>
      </c>
      <c r="I20" s="520">
        <v>179</v>
      </c>
      <c r="J20" s="529">
        <v>650</v>
      </c>
      <c r="K20" s="530">
        <f t="shared" si="0"/>
        <v>780</v>
      </c>
      <c r="L20" s="1"/>
      <c r="M20" s="1"/>
      <c r="N20" s="1"/>
      <c r="O20" s="1"/>
      <c r="P20" s="1"/>
    </row>
    <row r="21" spans="1:16" ht="52.5">
      <c r="A21" s="513" t="str">
        <f t="shared" si="1"/>
        <v>А .</v>
      </c>
      <c r="B21" s="514" t="s">
        <v>628</v>
      </c>
      <c r="C21" s="526"/>
      <c r="D21" s="527"/>
      <c r="E21" s="578" t="s">
        <v>629</v>
      </c>
      <c r="F21" s="523" t="s">
        <v>611</v>
      </c>
      <c r="G21" s="524">
        <v>18000</v>
      </c>
      <c r="H21" s="528">
        <v>1800</v>
      </c>
      <c r="I21" s="520">
        <f>+J21-(G21+H21)</f>
        <v>2145</v>
      </c>
      <c r="J21" s="529">
        <v>21945</v>
      </c>
      <c r="K21" s="530">
        <f t="shared" si="0"/>
        <v>26334</v>
      </c>
      <c r="L21" s="1"/>
      <c r="M21" s="1"/>
      <c r="N21" s="1"/>
      <c r="O21" s="1"/>
      <c r="P21" s="1"/>
    </row>
    <row r="22" spans="1:16" ht="78.75">
      <c r="A22" s="513" t="str">
        <f t="shared" si="1"/>
        <v>А .</v>
      </c>
      <c r="B22" s="514" t="s">
        <v>630</v>
      </c>
      <c r="C22" s="526"/>
      <c r="D22" s="527"/>
      <c r="E22" s="578" t="s">
        <v>631</v>
      </c>
      <c r="F22" s="523" t="s">
        <v>632</v>
      </c>
      <c r="G22" s="524">
        <v>0</v>
      </c>
      <c r="H22" s="528">
        <v>0</v>
      </c>
      <c r="I22" s="520">
        <f>+J22-(G22+H22)</f>
        <v>110</v>
      </c>
      <c r="J22" s="529">
        <v>110</v>
      </c>
      <c r="K22" s="530">
        <f t="shared" si="0"/>
        <v>132</v>
      </c>
      <c r="L22" s="1"/>
      <c r="M22" s="1"/>
      <c r="N22" s="1"/>
      <c r="O22" s="1"/>
      <c r="P22" s="1"/>
    </row>
    <row r="23" spans="1:16" ht="52.5">
      <c r="A23" s="513" t="str">
        <f t="shared" si="1"/>
        <v>А .</v>
      </c>
      <c r="B23" s="514" t="s">
        <v>633</v>
      </c>
      <c r="C23" s="526"/>
      <c r="D23" s="527"/>
      <c r="E23" s="578" t="s">
        <v>634</v>
      </c>
      <c r="F23" s="523" t="s">
        <v>602</v>
      </c>
      <c r="G23" s="524">
        <v>0</v>
      </c>
      <c r="H23" s="528">
        <v>0</v>
      </c>
      <c r="I23" s="520">
        <f>+J23-(G23+H23)</f>
        <v>150</v>
      </c>
      <c r="J23" s="529">
        <v>150</v>
      </c>
      <c r="K23" s="530">
        <f t="shared" si="0"/>
        <v>180</v>
      </c>
      <c r="L23" s="1"/>
      <c r="M23" s="1"/>
      <c r="N23" s="1"/>
      <c r="O23" s="1"/>
      <c r="P23" s="1"/>
    </row>
    <row r="24" spans="1:16" ht="26.25">
      <c r="A24" s="513" t="str">
        <f t="shared" si="1"/>
        <v>А .</v>
      </c>
      <c r="B24" s="514" t="s">
        <v>635</v>
      </c>
      <c r="C24" s="526"/>
      <c r="D24" s="527" t="s">
        <v>636</v>
      </c>
      <c r="E24" s="578" t="s">
        <v>637</v>
      </c>
      <c r="F24" s="523" t="s">
        <v>611</v>
      </c>
      <c r="G24" s="524">
        <v>0</v>
      </c>
      <c r="H24" s="528">
        <v>0</v>
      </c>
      <c r="I24" s="520">
        <f>+J24-(G24+H24)</f>
        <v>76530.3</v>
      </c>
      <c r="J24" s="529">
        <v>76530.3</v>
      </c>
      <c r="K24" s="530">
        <f t="shared" si="0"/>
        <v>91836.36</v>
      </c>
      <c r="L24" s="1"/>
      <c r="M24" s="1"/>
      <c r="N24" s="1"/>
      <c r="O24" s="1"/>
      <c r="P24" s="1"/>
    </row>
    <row r="25" spans="1:16" ht="26.25">
      <c r="A25" s="531"/>
      <c r="B25" s="532"/>
      <c r="C25" s="533"/>
      <c r="D25" s="534"/>
      <c r="E25" s="739"/>
      <c r="F25" s="535"/>
      <c r="G25" s="536" t="s">
        <v>1519</v>
      </c>
      <c r="H25" s="537"/>
      <c r="I25" s="538"/>
      <c r="J25" s="539"/>
      <c r="K25" s="540"/>
      <c r="L25" s="1"/>
      <c r="M25" s="1"/>
      <c r="N25" s="1"/>
      <c r="O25" s="1"/>
      <c r="P25" s="1"/>
    </row>
    <row r="26" spans="1:16" ht="27" thickBot="1">
      <c r="A26" s="829" t="s">
        <v>638</v>
      </c>
      <c r="B26" s="830"/>
      <c r="C26" s="495"/>
      <c r="D26" s="496"/>
      <c r="E26" s="737" t="s">
        <v>639</v>
      </c>
      <c r="F26" s="497"/>
      <c r="G26" s="541"/>
      <c r="H26" s="542"/>
      <c r="I26" s="543"/>
      <c r="J26" s="544"/>
      <c r="K26" s="545"/>
      <c r="L26" s="1"/>
      <c r="M26" s="1"/>
      <c r="N26" s="1"/>
      <c r="O26" s="1"/>
      <c r="P26" s="1"/>
    </row>
    <row r="27" spans="1:16" ht="26.25">
      <c r="A27" s="503"/>
      <c r="B27" s="546"/>
      <c r="C27" s="547"/>
      <c r="D27" s="548"/>
      <c r="E27" s="740"/>
      <c r="F27" s="549"/>
      <c r="G27" s="550"/>
      <c r="H27" s="551"/>
      <c r="I27" s="552"/>
      <c r="J27" s="553"/>
      <c r="K27" s="554"/>
      <c r="L27" s="1"/>
      <c r="M27" s="1"/>
      <c r="N27" s="1"/>
      <c r="O27" s="1"/>
      <c r="P27" s="1"/>
    </row>
    <row r="28" spans="1:16" ht="131.25">
      <c r="A28" s="513" t="str">
        <f>+A26</f>
        <v>В .</v>
      </c>
      <c r="B28" s="514" t="s">
        <v>594</v>
      </c>
      <c r="C28" s="515" t="s">
        <v>640</v>
      </c>
      <c r="D28" s="516" t="s">
        <v>641</v>
      </c>
      <c r="E28" s="555" t="s">
        <v>642</v>
      </c>
      <c r="F28" s="523" t="s">
        <v>1469</v>
      </c>
      <c r="G28" s="524">
        <v>0</v>
      </c>
      <c r="H28" s="528">
        <v>0</v>
      </c>
      <c r="I28" s="520">
        <f aca="true" t="shared" si="2" ref="I28:I66">+J28-(G28+H28)</f>
        <v>911.51</v>
      </c>
      <c r="J28" s="556">
        <v>911.51</v>
      </c>
      <c r="K28" s="557">
        <f aca="true" t="shared" si="3" ref="K28:K68">+$K28*$L$5</f>
        <v>1093.812</v>
      </c>
      <c r="L28" s="1"/>
      <c r="M28" s="1"/>
      <c r="N28" s="1"/>
      <c r="O28" s="1"/>
      <c r="P28" s="1"/>
    </row>
    <row r="29" spans="1:16" ht="131.25">
      <c r="A29" s="513" t="str">
        <f>+A28</f>
        <v>В .</v>
      </c>
      <c r="B29" s="514" t="s">
        <v>598</v>
      </c>
      <c r="C29" s="515" t="s">
        <v>643</v>
      </c>
      <c r="D29" s="516" t="s">
        <v>644</v>
      </c>
      <c r="E29" s="555" t="s">
        <v>645</v>
      </c>
      <c r="F29" s="523" t="s">
        <v>1469</v>
      </c>
      <c r="G29" s="524">
        <v>0</v>
      </c>
      <c r="H29" s="528">
        <v>0</v>
      </c>
      <c r="I29" s="520">
        <f t="shared" si="2"/>
        <v>1184.96</v>
      </c>
      <c r="J29" s="556">
        <v>1184.96</v>
      </c>
      <c r="K29" s="557">
        <f t="shared" si="3"/>
        <v>1421.952</v>
      </c>
      <c r="L29" s="1"/>
      <c r="M29" s="1"/>
      <c r="N29" s="1"/>
      <c r="O29" s="1"/>
      <c r="P29" s="1"/>
    </row>
    <row r="30" spans="1:16" ht="131.25">
      <c r="A30" s="513" t="str">
        <f aca="true" t="shared" si="4" ref="A30:A68">+A28</f>
        <v>В .</v>
      </c>
      <c r="B30" s="514" t="s">
        <v>603</v>
      </c>
      <c r="C30" s="515" t="s">
        <v>646</v>
      </c>
      <c r="D30" s="516" t="s">
        <v>647</v>
      </c>
      <c r="E30" s="555" t="s">
        <v>648</v>
      </c>
      <c r="F30" s="523" t="s">
        <v>1469</v>
      </c>
      <c r="G30" s="524">
        <v>0</v>
      </c>
      <c r="H30" s="528">
        <v>0</v>
      </c>
      <c r="I30" s="520">
        <f t="shared" si="2"/>
        <v>1403.74</v>
      </c>
      <c r="J30" s="556">
        <v>1403.74</v>
      </c>
      <c r="K30" s="557">
        <f t="shared" si="3"/>
        <v>1684.488</v>
      </c>
      <c r="L30" s="1"/>
      <c r="M30" s="1"/>
      <c r="N30" s="1"/>
      <c r="O30" s="1"/>
      <c r="P30" s="1"/>
    </row>
    <row r="31" spans="1:16" ht="131.25">
      <c r="A31" s="513" t="str">
        <f t="shared" si="4"/>
        <v>В .</v>
      </c>
      <c r="B31" s="514" t="s">
        <v>607</v>
      </c>
      <c r="C31" s="515" t="s">
        <v>649</v>
      </c>
      <c r="D31" s="516" t="s">
        <v>650</v>
      </c>
      <c r="E31" s="555" t="s">
        <v>651</v>
      </c>
      <c r="F31" s="523" t="s">
        <v>1469</v>
      </c>
      <c r="G31" s="524">
        <v>0</v>
      </c>
      <c r="H31" s="528">
        <v>0</v>
      </c>
      <c r="I31" s="520">
        <f t="shared" si="2"/>
        <v>1231.77</v>
      </c>
      <c r="J31" s="556">
        <v>1231.77</v>
      </c>
      <c r="K31" s="557">
        <f t="shared" si="3"/>
        <v>1478.124</v>
      </c>
      <c r="L31" s="1"/>
      <c r="M31" s="1"/>
      <c r="N31" s="1"/>
      <c r="O31" s="1"/>
      <c r="P31" s="1"/>
    </row>
    <row r="32" spans="1:16" ht="131.25">
      <c r="A32" s="513" t="str">
        <f t="shared" si="4"/>
        <v>В .</v>
      </c>
      <c r="B32" s="514" t="s">
        <v>612</v>
      </c>
      <c r="C32" s="515" t="s">
        <v>652</v>
      </c>
      <c r="D32" s="516" t="s">
        <v>653</v>
      </c>
      <c r="E32" s="555" t="s">
        <v>654</v>
      </c>
      <c r="F32" s="523" t="s">
        <v>1469</v>
      </c>
      <c r="G32" s="524">
        <v>0</v>
      </c>
      <c r="H32" s="528">
        <v>0</v>
      </c>
      <c r="I32" s="520">
        <f t="shared" si="2"/>
        <v>1601.3</v>
      </c>
      <c r="J32" s="556">
        <v>1601.3</v>
      </c>
      <c r="K32" s="557">
        <f t="shared" si="3"/>
        <v>1921.56</v>
      </c>
      <c r="L32" s="1"/>
      <c r="M32" s="1"/>
      <c r="N32" s="1"/>
      <c r="O32" s="1"/>
      <c r="P32" s="1"/>
    </row>
    <row r="33" spans="1:16" ht="131.25">
      <c r="A33" s="513" t="str">
        <f t="shared" si="4"/>
        <v>В .</v>
      </c>
      <c r="B33" s="514" t="s">
        <v>616</v>
      </c>
      <c r="C33" s="515" t="s">
        <v>655</v>
      </c>
      <c r="D33" s="516" t="s">
        <v>656</v>
      </c>
      <c r="E33" s="555" t="s">
        <v>657</v>
      </c>
      <c r="F33" s="523" t="s">
        <v>1469</v>
      </c>
      <c r="G33" s="524">
        <v>0</v>
      </c>
      <c r="H33" s="528">
        <v>0</v>
      </c>
      <c r="I33" s="520">
        <f t="shared" si="2"/>
        <v>1896.92</v>
      </c>
      <c r="J33" s="556">
        <v>1896.92</v>
      </c>
      <c r="K33" s="557">
        <f t="shared" si="3"/>
        <v>2276.304</v>
      </c>
      <c r="L33" s="1"/>
      <c r="M33" s="1"/>
      <c r="N33" s="1"/>
      <c r="O33" s="1"/>
      <c r="P33" s="1"/>
    </row>
    <row r="34" spans="1:16" ht="52.5">
      <c r="A34" s="513" t="str">
        <f t="shared" si="4"/>
        <v>В .</v>
      </c>
      <c r="B34" s="514" t="s">
        <v>619</v>
      </c>
      <c r="C34" s="515" t="s">
        <v>658</v>
      </c>
      <c r="D34" s="516" t="s">
        <v>659</v>
      </c>
      <c r="E34" s="555" t="s">
        <v>660</v>
      </c>
      <c r="F34" s="523" t="s">
        <v>1469</v>
      </c>
      <c r="G34" s="524">
        <v>0</v>
      </c>
      <c r="H34" s="528">
        <v>0</v>
      </c>
      <c r="I34" s="520">
        <f t="shared" si="2"/>
        <v>351.93</v>
      </c>
      <c r="J34" s="521">
        <v>351.93</v>
      </c>
      <c r="K34" s="522">
        <f t="shared" si="3"/>
        <v>422.316</v>
      </c>
      <c r="L34" s="1"/>
      <c r="M34" s="1"/>
      <c r="N34" s="1"/>
      <c r="O34" s="1"/>
      <c r="P34" s="1"/>
    </row>
    <row r="35" spans="1:16" ht="105">
      <c r="A35" s="513" t="str">
        <f t="shared" si="4"/>
        <v>В .</v>
      </c>
      <c r="B35" s="514" t="s">
        <v>622</v>
      </c>
      <c r="C35" s="515" t="s">
        <v>661</v>
      </c>
      <c r="D35" s="516" t="s">
        <v>662</v>
      </c>
      <c r="E35" s="555" t="s">
        <v>663</v>
      </c>
      <c r="F35" s="517" t="s">
        <v>1468</v>
      </c>
      <c r="G35" s="524">
        <v>0</v>
      </c>
      <c r="H35" s="528">
        <v>0</v>
      </c>
      <c r="I35" s="520">
        <f t="shared" si="2"/>
        <v>175.97</v>
      </c>
      <c r="J35" s="556">
        <v>175.97</v>
      </c>
      <c r="K35" s="557">
        <f t="shared" si="3"/>
        <v>211.164</v>
      </c>
      <c r="L35" s="1"/>
      <c r="M35" s="1"/>
      <c r="N35" s="1"/>
      <c r="O35" s="1"/>
      <c r="P35" s="1"/>
    </row>
    <row r="36" spans="1:16" ht="105">
      <c r="A36" s="513" t="str">
        <f t="shared" si="4"/>
        <v>В .</v>
      </c>
      <c r="B36" s="514" t="s">
        <v>625</v>
      </c>
      <c r="C36" s="515" t="s">
        <v>664</v>
      </c>
      <c r="D36" s="516" t="s">
        <v>665</v>
      </c>
      <c r="E36" s="555" t="s">
        <v>666</v>
      </c>
      <c r="F36" s="517" t="s">
        <v>1468</v>
      </c>
      <c r="G36" s="524">
        <v>0</v>
      </c>
      <c r="H36" s="528">
        <v>0</v>
      </c>
      <c r="I36" s="520">
        <f t="shared" si="2"/>
        <v>211.16</v>
      </c>
      <c r="J36" s="558">
        <v>211.16</v>
      </c>
      <c r="K36" s="559">
        <f t="shared" si="3"/>
        <v>253.392</v>
      </c>
      <c r="L36" s="1"/>
      <c r="M36" s="1"/>
      <c r="N36" s="1"/>
      <c r="O36" s="1"/>
      <c r="P36" s="1"/>
    </row>
    <row r="37" spans="1:16" ht="105">
      <c r="A37" s="513" t="str">
        <f t="shared" si="4"/>
        <v>В .</v>
      </c>
      <c r="B37" s="514" t="s">
        <v>628</v>
      </c>
      <c r="C37" s="515" t="s">
        <v>667</v>
      </c>
      <c r="D37" s="516" t="s">
        <v>668</v>
      </c>
      <c r="E37" s="555" t="s">
        <v>669</v>
      </c>
      <c r="F37" s="517" t="s">
        <v>1468</v>
      </c>
      <c r="G37" s="524">
        <v>0</v>
      </c>
      <c r="H37" s="528">
        <v>0</v>
      </c>
      <c r="I37" s="520">
        <f t="shared" si="2"/>
        <v>430.98</v>
      </c>
      <c r="J37" s="556">
        <v>430.98</v>
      </c>
      <c r="K37" s="557">
        <f t="shared" si="3"/>
        <v>517.176</v>
      </c>
      <c r="L37" s="1"/>
      <c r="M37" s="1"/>
      <c r="N37" s="1"/>
      <c r="O37" s="1"/>
      <c r="P37" s="1"/>
    </row>
    <row r="38" spans="1:16" ht="78.75">
      <c r="A38" s="513" t="str">
        <f t="shared" si="4"/>
        <v>В .</v>
      </c>
      <c r="B38" s="514" t="s">
        <v>630</v>
      </c>
      <c r="C38" s="515" t="s">
        <v>670</v>
      </c>
      <c r="D38" s="516" t="s">
        <v>671</v>
      </c>
      <c r="E38" s="555" t="s">
        <v>672</v>
      </c>
      <c r="F38" s="517" t="s">
        <v>1468</v>
      </c>
      <c r="G38" s="524">
        <v>0</v>
      </c>
      <c r="H38" s="528">
        <v>0</v>
      </c>
      <c r="I38" s="520">
        <f t="shared" si="2"/>
        <v>18.19</v>
      </c>
      <c r="J38" s="521">
        <v>18.19</v>
      </c>
      <c r="K38" s="522">
        <f t="shared" si="3"/>
        <v>21.828</v>
      </c>
      <c r="L38" s="1"/>
      <c r="M38" s="1"/>
      <c r="N38" s="1"/>
      <c r="O38" s="1"/>
      <c r="P38" s="1"/>
    </row>
    <row r="39" spans="1:16" ht="52.5">
      <c r="A39" s="513" t="str">
        <f t="shared" si="4"/>
        <v>В .</v>
      </c>
      <c r="B39" s="514" t="s">
        <v>633</v>
      </c>
      <c r="C39" s="515" t="s">
        <v>673</v>
      </c>
      <c r="D39" s="516" t="s">
        <v>674</v>
      </c>
      <c r="E39" s="555" t="s">
        <v>675</v>
      </c>
      <c r="F39" s="517" t="s">
        <v>1469</v>
      </c>
      <c r="G39" s="524">
        <v>0</v>
      </c>
      <c r="H39" s="528">
        <v>0</v>
      </c>
      <c r="I39" s="520">
        <f t="shared" si="2"/>
        <v>225.92</v>
      </c>
      <c r="J39" s="521">
        <v>225.92</v>
      </c>
      <c r="K39" s="522">
        <f t="shared" si="3"/>
        <v>271.104</v>
      </c>
      <c r="L39" s="1"/>
      <c r="M39" s="1"/>
      <c r="N39" s="1"/>
      <c r="O39" s="1"/>
      <c r="P39" s="1"/>
    </row>
    <row r="40" spans="1:16" ht="78.75">
      <c r="A40" s="513" t="str">
        <f t="shared" si="4"/>
        <v>В .</v>
      </c>
      <c r="B40" s="514" t="s">
        <v>635</v>
      </c>
      <c r="C40" s="515" t="s">
        <v>676</v>
      </c>
      <c r="D40" s="516" t="s">
        <v>677</v>
      </c>
      <c r="E40" s="555" t="s">
        <v>678</v>
      </c>
      <c r="F40" s="517" t="s">
        <v>1469</v>
      </c>
      <c r="G40" s="524">
        <v>0</v>
      </c>
      <c r="H40" s="528">
        <v>0</v>
      </c>
      <c r="I40" s="520">
        <f t="shared" si="2"/>
        <v>335.85</v>
      </c>
      <c r="J40" s="521">
        <v>335.85</v>
      </c>
      <c r="K40" s="522">
        <f t="shared" si="3"/>
        <v>403.02000000000004</v>
      </c>
      <c r="L40" s="1"/>
      <c r="M40" s="1"/>
      <c r="N40" s="1"/>
      <c r="O40" s="1"/>
      <c r="P40" s="1"/>
    </row>
    <row r="41" spans="1:16" ht="78.75">
      <c r="A41" s="513" t="str">
        <f t="shared" si="4"/>
        <v>В .</v>
      </c>
      <c r="B41" s="514" t="s">
        <v>679</v>
      </c>
      <c r="C41" s="515" t="s">
        <v>680</v>
      </c>
      <c r="D41" s="516" t="s">
        <v>681</v>
      </c>
      <c r="E41" s="555" t="s">
        <v>682</v>
      </c>
      <c r="F41" s="517" t="s">
        <v>1469</v>
      </c>
      <c r="G41" s="524">
        <v>0</v>
      </c>
      <c r="H41" s="528">
        <v>0</v>
      </c>
      <c r="I41" s="520">
        <f t="shared" si="2"/>
        <v>263.31</v>
      </c>
      <c r="J41" s="521">
        <v>263.31</v>
      </c>
      <c r="K41" s="522">
        <f t="shared" si="3"/>
        <v>315.972</v>
      </c>
      <c r="L41" s="1"/>
      <c r="M41" s="1"/>
      <c r="N41" s="1"/>
      <c r="O41" s="1"/>
      <c r="P41" s="1"/>
    </row>
    <row r="42" spans="1:16" ht="78.75">
      <c r="A42" s="513" t="str">
        <f t="shared" si="4"/>
        <v>В .</v>
      </c>
      <c r="B42" s="514" t="s">
        <v>683</v>
      </c>
      <c r="C42" s="515" t="s">
        <v>684</v>
      </c>
      <c r="D42" s="516" t="s">
        <v>685</v>
      </c>
      <c r="E42" s="555" t="s">
        <v>686</v>
      </c>
      <c r="F42" s="517" t="s">
        <v>1469</v>
      </c>
      <c r="G42" s="524">
        <v>0</v>
      </c>
      <c r="H42" s="528">
        <v>0</v>
      </c>
      <c r="I42" s="520">
        <f t="shared" si="2"/>
        <v>177.49</v>
      </c>
      <c r="J42" s="521">
        <v>177.49</v>
      </c>
      <c r="K42" s="522">
        <f t="shared" si="3"/>
        <v>212.988</v>
      </c>
      <c r="L42" s="1"/>
      <c r="M42" s="1"/>
      <c r="N42" s="1"/>
      <c r="O42" s="1"/>
      <c r="P42" s="1"/>
    </row>
    <row r="43" spans="1:16" ht="105">
      <c r="A43" s="513" t="str">
        <f t="shared" si="4"/>
        <v>В .</v>
      </c>
      <c r="B43" s="514" t="s">
        <v>687</v>
      </c>
      <c r="C43" s="515" t="s">
        <v>688</v>
      </c>
      <c r="D43" s="516" t="s">
        <v>689</v>
      </c>
      <c r="E43" s="555" t="s">
        <v>690</v>
      </c>
      <c r="F43" s="517" t="s">
        <v>1469</v>
      </c>
      <c r="G43" s="524">
        <v>0</v>
      </c>
      <c r="H43" s="528">
        <v>0</v>
      </c>
      <c r="I43" s="520">
        <f t="shared" si="2"/>
        <v>53.33</v>
      </c>
      <c r="J43" s="521">
        <v>53.33</v>
      </c>
      <c r="K43" s="522">
        <f t="shared" si="3"/>
        <v>63.995999999999995</v>
      </c>
      <c r="L43" s="1"/>
      <c r="M43" s="1"/>
      <c r="N43" s="1"/>
      <c r="O43" s="1"/>
      <c r="P43" s="1"/>
    </row>
    <row r="44" spans="1:16" ht="157.5">
      <c r="A44" s="513" t="str">
        <f t="shared" si="4"/>
        <v>В .</v>
      </c>
      <c r="B44" s="514" t="s">
        <v>691</v>
      </c>
      <c r="C44" s="515" t="s">
        <v>692</v>
      </c>
      <c r="D44" s="516" t="s">
        <v>693</v>
      </c>
      <c r="E44" s="555" t="s">
        <v>694</v>
      </c>
      <c r="F44" s="517" t="s">
        <v>1469</v>
      </c>
      <c r="G44" s="524">
        <v>0</v>
      </c>
      <c r="H44" s="528">
        <v>0</v>
      </c>
      <c r="I44" s="520">
        <f t="shared" si="2"/>
        <v>76.79</v>
      </c>
      <c r="J44" s="521">
        <v>76.79</v>
      </c>
      <c r="K44" s="522">
        <f t="shared" si="3"/>
        <v>92.14800000000001</v>
      </c>
      <c r="L44" s="1"/>
      <c r="M44" s="1"/>
      <c r="N44" s="1"/>
      <c r="O44" s="1"/>
      <c r="P44" s="1"/>
    </row>
    <row r="45" spans="1:16" ht="105">
      <c r="A45" s="513" t="str">
        <f t="shared" si="4"/>
        <v>В .</v>
      </c>
      <c r="B45" s="514" t="s">
        <v>695</v>
      </c>
      <c r="C45" s="515" t="s">
        <v>696</v>
      </c>
      <c r="D45" s="516" t="s">
        <v>697</v>
      </c>
      <c r="E45" s="555" t="s">
        <v>698</v>
      </c>
      <c r="F45" s="517" t="s">
        <v>1469</v>
      </c>
      <c r="G45" s="524">
        <v>0</v>
      </c>
      <c r="H45" s="528">
        <v>0</v>
      </c>
      <c r="I45" s="520">
        <f t="shared" si="2"/>
        <v>141.08</v>
      </c>
      <c r="J45" s="521">
        <v>141.08</v>
      </c>
      <c r="K45" s="522">
        <f t="shared" si="3"/>
        <v>169.29600000000002</v>
      </c>
      <c r="L45" s="1"/>
      <c r="M45" s="1"/>
      <c r="N45" s="1"/>
      <c r="O45" s="1"/>
      <c r="P45" s="1"/>
    </row>
    <row r="46" spans="1:16" ht="105">
      <c r="A46" s="513" t="str">
        <f t="shared" si="4"/>
        <v>В .</v>
      </c>
      <c r="B46" s="514" t="s">
        <v>699</v>
      </c>
      <c r="C46" s="515" t="s">
        <v>700</v>
      </c>
      <c r="D46" s="516" t="s">
        <v>701</v>
      </c>
      <c r="E46" s="555" t="s">
        <v>702</v>
      </c>
      <c r="F46" s="517" t="s">
        <v>1469</v>
      </c>
      <c r="G46" s="524">
        <v>0</v>
      </c>
      <c r="H46" s="528">
        <v>0</v>
      </c>
      <c r="I46" s="520">
        <f t="shared" si="2"/>
        <v>129.99</v>
      </c>
      <c r="J46" s="521">
        <v>129.99</v>
      </c>
      <c r="K46" s="522">
        <f t="shared" si="3"/>
        <v>155.988</v>
      </c>
      <c r="L46" s="1"/>
      <c r="M46" s="1"/>
      <c r="N46" s="1"/>
      <c r="O46" s="1"/>
      <c r="P46" s="1"/>
    </row>
    <row r="47" spans="1:16" ht="131.25">
      <c r="A47" s="513" t="str">
        <f t="shared" si="4"/>
        <v>В .</v>
      </c>
      <c r="B47" s="514" t="s">
        <v>703</v>
      </c>
      <c r="C47" s="515" t="s">
        <v>704</v>
      </c>
      <c r="D47" s="516" t="s">
        <v>705</v>
      </c>
      <c r="E47" s="555" t="s">
        <v>706</v>
      </c>
      <c r="F47" s="517" t="s">
        <v>1469</v>
      </c>
      <c r="G47" s="524">
        <v>0</v>
      </c>
      <c r="H47" s="528">
        <v>0</v>
      </c>
      <c r="I47" s="520">
        <f t="shared" si="2"/>
        <v>349.95</v>
      </c>
      <c r="J47" s="521">
        <v>349.95</v>
      </c>
      <c r="K47" s="522">
        <f t="shared" si="3"/>
        <v>419.94</v>
      </c>
      <c r="L47" s="1"/>
      <c r="M47" s="1"/>
      <c r="N47" s="1"/>
      <c r="O47" s="1"/>
      <c r="P47" s="1"/>
    </row>
    <row r="48" spans="1:16" ht="78.75">
      <c r="A48" s="513" t="str">
        <f t="shared" si="4"/>
        <v>В .</v>
      </c>
      <c r="B48" s="514" t="s">
        <v>707</v>
      </c>
      <c r="C48" s="515" t="s">
        <v>708</v>
      </c>
      <c r="D48" s="516" t="s">
        <v>709</v>
      </c>
      <c r="E48" s="555" t="s">
        <v>710</v>
      </c>
      <c r="F48" s="517" t="s">
        <v>1469</v>
      </c>
      <c r="G48" s="524">
        <v>0</v>
      </c>
      <c r="H48" s="528">
        <v>0</v>
      </c>
      <c r="I48" s="520">
        <f t="shared" si="2"/>
        <v>213.57</v>
      </c>
      <c r="J48" s="521">
        <v>213.57</v>
      </c>
      <c r="K48" s="522">
        <f t="shared" si="3"/>
        <v>256.284</v>
      </c>
      <c r="L48" s="1"/>
      <c r="M48" s="1"/>
      <c r="N48" s="1"/>
      <c r="O48" s="1"/>
      <c r="P48" s="1"/>
    </row>
    <row r="49" spans="1:16" ht="78.75">
      <c r="A49" s="513" t="str">
        <f t="shared" si="4"/>
        <v>В .</v>
      </c>
      <c r="B49" s="514" t="s">
        <v>711</v>
      </c>
      <c r="C49" s="515" t="s">
        <v>712</v>
      </c>
      <c r="D49" s="516" t="s">
        <v>713</v>
      </c>
      <c r="E49" s="555" t="s">
        <v>714</v>
      </c>
      <c r="F49" s="517" t="s">
        <v>1469</v>
      </c>
      <c r="G49" s="524">
        <v>0</v>
      </c>
      <c r="H49" s="528">
        <v>0</v>
      </c>
      <c r="I49" s="520">
        <f t="shared" si="2"/>
        <v>222.14</v>
      </c>
      <c r="J49" s="521">
        <v>222.14</v>
      </c>
      <c r="K49" s="522">
        <f t="shared" si="3"/>
        <v>266.568</v>
      </c>
      <c r="L49" s="1"/>
      <c r="M49" s="1"/>
      <c r="N49" s="1"/>
      <c r="O49" s="1"/>
      <c r="P49" s="1"/>
    </row>
    <row r="50" spans="1:16" ht="78.75">
      <c r="A50" s="513" t="str">
        <f t="shared" si="4"/>
        <v>В .</v>
      </c>
      <c r="B50" s="514" t="s">
        <v>715</v>
      </c>
      <c r="C50" s="515" t="s">
        <v>716</v>
      </c>
      <c r="D50" s="516" t="s">
        <v>717</v>
      </c>
      <c r="E50" s="555" t="s">
        <v>718</v>
      </c>
      <c r="F50" s="517" t="s">
        <v>1469</v>
      </c>
      <c r="G50" s="524">
        <v>0</v>
      </c>
      <c r="H50" s="528">
        <v>0</v>
      </c>
      <c r="I50" s="520">
        <f t="shared" si="2"/>
        <v>215.66</v>
      </c>
      <c r="J50" s="521">
        <v>215.66</v>
      </c>
      <c r="K50" s="522">
        <f t="shared" si="3"/>
        <v>258.792</v>
      </c>
      <c r="L50" s="1"/>
      <c r="M50" s="1"/>
      <c r="N50" s="1"/>
      <c r="O50" s="1"/>
      <c r="P50" s="1"/>
    </row>
    <row r="51" spans="1:16" ht="105">
      <c r="A51" s="513" t="str">
        <f t="shared" si="4"/>
        <v>В .</v>
      </c>
      <c r="B51" s="514" t="s">
        <v>719</v>
      </c>
      <c r="C51" s="515" t="s">
        <v>720</v>
      </c>
      <c r="D51" s="516" t="s">
        <v>721</v>
      </c>
      <c r="E51" s="555" t="s">
        <v>722</v>
      </c>
      <c r="F51" s="517" t="s">
        <v>1469</v>
      </c>
      <c r="G51" s="524">
        <v>0</v>
      </c>
      <c r="H51" s="528">
        <v>0</v>
      </c>
      <c r="I51" s="520">
        <f t="shared" si="2"/>
        <v>265.03</v>
      </c>
      <c r="J51" s="521">
        <v>265.03</v>
      </c>
      <c r="K51" s="522">
        <f t="shared" si="3"/>
        <v>318.03599999999994</v>
      </c>
      <c r="L51" s="1"/>
      <c r="M51" s="1"/>
      <c r="N51" s="1"/>
      <c r="O51" s="1"/>
      <c r="P51" s="1"/>
    </row>
    <row r="52" spans="1:16" ht="105">
      <c r="A52" s="513" t="str">
        <f t="shared" si="4"/>
        <v>В .</v>
      </c>
      <c r="B52" s="514" t="s">
        <v>723</v>
      </c>
      <c r="C52" s="515" t="s">
        <v>724</v>
      </c>
      <c r="D52" s="516" t="s">
        <v>725</v>
      </c>
      <c r="E52" s="555" t="s">
        <v>726</v>
      </c>
      <c r="F52" s="517" t="s">
        <v>1469</v>
      </c>
      <c r="G52" s="524">
        <v>0</v>
      </c>
      <c r="H52" s="528">
        <v>0</v>
      </c>
      <c r="I52" s="520">
        <f t="shared" si="2"/>
        <v>307.05</v>
      </c>
      <c r="J52" s="521">
        <v>307.05</v>
      </c>
      <c r="K52" s="522">
        <f t="shared" si="3"/>
        <v>368.46</v>
      </c>
      <c r="L52" s="1"/>
      <c r="M52" s="1"/>
      <c r="N52" s="1"/>
      <c r="O52" s="1"/>
      <c r="P52" s="1"/>
    </row>
    <row r="53" spans="1:16" ht="52.5">
      <c r="A53" s="513" t="str">
        <f t="shared" si="4"/>
        <v>В .</v>
      </c>
      <c r="B53" s="514" t="s">
        <v>727</v>
      </c>
      <c r="C53" s="515" t="s">
        <v>728</v>
      </c>
      <c r="D53" s="516" t="s">
        <v>729</v>
      </c>
      <c r="E53" s="555" t="s">
        <v>730</v>
      </c>
      <c r="F53" s="523" t="s">
        <v>611</v>
      </c>
      <c r="G53" s="524">
        <v>0</v>
      </c>
      <c r="H53" s="528">
        <v>0</v>
      </c>
      <c r="I53" s="520">
        <f t="shared" si="2"/>
        <v>840.54</v>
      </c>
      <c r="J53" s="521">
        <v>840.54</v>
      </c>
      <c r="K53" s="522">
        <f t="shared" si="3"/>
        <v>1008.6479999999999</v>
      </c>
      <c r="L53" s="1"/>
      <c r="M53" s="1"/>
      <c r="N53" s="1"/>
      <c r="O53" s="1"/>
      <c r="P53" s="1"/>
    </row>
    <row r="54" spans="1:16" ht="52.5">
      <c r="A54" s="513" t="str">
        <f t="shared" si="4"/>
        <v>В .</v>
      </c>
      <c r="B54" s="514" t="s">
        <v>731</v>
      </c>
      <c r="C54" s="515" t="s">
        <v>732</v>
      </c>
      <c r="D54" s="516" t="s">
        <v>733</v>
      </c>
      <c r="E54" s="555" t="s">
        <v>734</v>
      </c>
      <c r="F54" s="523" t="s">
        <v>611</v>
      </c>
      <c r="G54" s="524">
        <v>0</v>
      </c>
      <c r="H54" s="528">
        <v>0</v>
      </c>
      <c r="I54" s="520">
        <f t="shared" si="2"/>
        <v>1401.47</v>
      </c>
      <c r="J54" s="521">
        <v>1401.47</v>
      </c>
      <c r="K54" s="522">
        <f t="shared" si="3"/>
        <v>1681.764</v>
      </c>
      <c r="L54" s="1"/>
      <c r="M54" s="1"/>
      <c r="N54" s="1"/>
      <c r="O54" s="1"/>
      <c r="P54" s="1"/>
    </row>
    <row r="55" spans="1:16" ht="52.5">
      <c r="A55" s="513" t="str">
        <f t="shared" si="4"/>
        <v>В .</v>
      </c>
      <c r="B55" s="514" t="s">
        <v>735</v>
      </c>
      <c r="C55" s="515" t="s">
        <v>736</v>
      </c>
      <c r="D55" s="516" t="s">
        <v>737</v>
      </c>
      <c r="E55" s="555" t="s">
        <v>738</v>
      </c>
      <c r="F55" s="523" t="s">
        <v>611</v>
      </c>
      <c r="G55" s="524">
        <v>0</v>
      </c>
      <c r="H55" s="528">
        <v>0</v>
      </c>
      <c r="I55" s="520">
        <f t="shared" si="2"/>
        <v>3488.25</v>
      </c>
      <c r="J55" s="521">
        <v>3488.25</v>
      </c>
      <c r="K55" s="522">
        <f t="shared" si="3"/>
        <v>4185.9</v>
      </c>
      <c r="L55" s="1"/>
      <c r="M55" s="1"/>
      <c r="N55" s="1"/>
      <c r="O55" s="1"/>
      <c r="P55" s="1"/>
    </row>
    <row r="56" spans="1:16" ht="105">
      <c r="A56" s="513" t="str">
        <f t="shared" si="4"/>
        <v>В .</v>
      </c>
      <c r="B56" s="514" t="s">
        <v>739</v>
      </c>
      <c r="C56" s="515" t="s">
        <v>740</v>
      </c>
      <c r="D56" s="516" t="s">
        <v>741</v>
      </c>
      <c r="E56" s="555" t="s">
        <v>742</v>
      </c>
      <c r="F56" s="517" t="s">
        <v>1469</v>
      </c>
      <c r="G56" s="524">
        <v>0</v>
      </c>
      <c r="H56" s="528">
        <v>0</v>
      </c>
      <c r="I56" s="520">
        <f t="shared" si="2"/>
        <v>152.5</v>
      </c>
      <c r="J56" s="521">
        <v>152.5</v>
      </c>
      <c r="K56" s="522">
        <f t="shared" si="3"/>
        <v>183</v>
      </c>
      <c r="L56" s="1"/>
      <c r="M56" s="1"/>
      <c r="N56" s="1"/>
      <c r="O56" s="1"/>
      <c r="P56" s="1"/>
    </row>
    <row r="57" spans="1:16" ht="52.5">
      <c r="A57" s="513" t="str">
        <f t="shared" si="4"/>
        <v>В .</v>
      </c>
      <c r="B57" s="514" t="s">
        <v>743</v>
      </c>
      <c r="C57" s="515" t="s">
        <v>744</v>
      </c>
      <c r="D57" s="527"/>
      <c r="E57" s="560" t="s">
        <v>745</v>
      </c>
      <c r="F57" s="517" t="s">
        <v>1469</v>
      </c>
      <c r="G57" s="524">
        <v>0</v>
      </c>
      <c r="H57" s="528">
        <v>0</v>
      </c>
      <c r="I57" s="520">
        <f t="shared" si="2"/>
        <v>550</v>
      </c>
      <c r="J57" s="529">
        <v>550</v>
      </c>
      <c r="K57" s="530">
        <f t="shared" si="3"/>
        <v>660</v>
      </c>
      <c r="L57" s="1"/>
      <c r="M57" s="1"/>
      <c r="N57" s="1"/>
      <c r="O57" s="1"/>
      <c r="P57" s="1"/>
    </row>
    <row r="58" spans="1:16" ht="105">
      <c r="A58" s="513" t="str">
        <f t="shared" si="4"/>
        <v>В .</v>
      </c>
      <c r="B58" s="514" t="s">
        <v>746</v>
      </c>
      <c r="C58" s="515" t="s">
        <v>747</v>
      </c>
      <c r="D58" s="516" t="s">
        <v>748</v>
      </c>
      <c r="E58" s="555" t="s">
        <v>749</v>
      </c>
      <c r="F58" s="517" t="s">
        <v>1469</v>
      </c>
      <c r="G58" s="524">
        <v>0</v>
      </c>
      <c r="H58" s="528">
        <v>0</v>
      </c>
      <c r="I58" s="520">
        <f t="shared" si="2"/>
        <v>154.09</v>
      </c>
      <c r="J58" s="521">
        <v>154.09</v>
      </c>
      <c r="K58" s="522">
        <f t="shared" si="3"/>
        <v>184.908</v>
      </c>
      <c r="L58" s="1"/>
      <c r="M58" s="1"/>
      <c r="N58" s="1"/>
      <c r="O58" s="1"/>
      <c r="P58" s="1"/>
    </row>
    <row r="59" spans="1:16" ht="78.75">
      <c r="A59" s="513" t="str">
        <f t="shared" si="4"/>
        <v>В .</v>
      </c>
      <c r="B59" s="514" t="s">
        <v>750</v>
      </c>
      <c r="C59" s="515" t="s">
        <v>751</v>
      </c>
      <c r="D59" s="516" t="s">
        <v>752</v>
      </c>
      <c r="E59" s="555" t="s">
        <v>753</v>
      </c>
      <c r="F59" s="517" t="s">
        <v>1469</v>
      </c>
      <c r="G59" s="524">
        <v>0</v>
      </c>
      <c r="H59" s="528">
        <v>0</v>
      </c>
      <c r="I59" s="520">
        <f t="shared" si="2"/>
        <v>158.73</v>
      </c>
      <c r="J59" s="521">
        <v>158.73</v>
      </c>
      <c r="K59" s="522">
        <f t="shared" si="3"/>
        <v>190.47599999999997</v>
      </c>
      <c r="L59" s="1"/>
      <c r="M59" s="1"/>
      <c r="N59" s="1"/>
      <c r="O59" s="1"/>
      <c r="P59" s="1"/>
    </row>
    <row r="60" spans="1:16" ht="52.5">
      <c r="A60" s="513" t="str">
        <f t="shared" si="4"/>
        <v>В .</v>
      </c>
      <c r="B60" s="514" t="s">
        <v>754</v>
      </c>
      <c r="C60" s="515" t="s">
        <v>755</v>
      </c>
      <c r="D60" s="516" t="s">
        <v>756</v>
      </c>
      <c r="E60" s="555" t="s">
        <v>757</v>
      </c>
      <c r="F60" s="517" t="s">
        <v>1469</v>
      </c>
      <c r="G60" s="524">
        <v>0</v>
      </c>
      <c r="H60" s="528">
        <v>0</v>
      </c>
      <c r="I60" s="520">
        <f t="shared" si="2"/>
        <v>70</v>
      </c>
      <c r="J60" s="558">
        <v>70</v>
      </c>
      <c r="K60" s="559">
        <f t="shared" si="3"/>
        <v>84</v>
      </c>
      <c r="L60" s="1"/>
      <c r="M60" s="1"/>
      <c r="N60" s="1"/>
      <c r="O60" s="1"/>
      <c r="P60" s="1"/>
    </row>
    <row r="61" spans="1:16" ht="52.5">
      <c r="A61" s="513" t="str">
        <f t="shared" si="4"/>
        <v>В .</v>
      </c>
      <c r="B61" s="514" t="s">
        <v>758</v>
      </c>
      <c r="C61" s="515" t="s">
        <v>759</v>
      </c>
      <c r="D61" s="516" t="s">
        <v>760</v>
      </c>
      <c r="E61" s="555" t="s">
        <v>761</v>
      </c>
      <c r="F61" s="517" t="s">
        <v>1469</v>
      </c>
      <c r="G61" s="524">
        <v>0</v>
      </c>
      <c r="H61" s="528">
        <v>0</v>
      </c>
      <c r="I61" s="520">
        <f t="shared" si="2"/>
        <v>72</v>
      </c>
      <c r="J61" s="521">
        <v>72</v>
      </c>
      <c r="K61" s="522">
        <f t="shared" si="3"/>
        <v>86.39999999999999</v>
      </c>
      <c r="L61" s="1"/>
      <c r="M61" s="1"/>
      <c r="N61" s="1"/>
      <c r="O61" s="1"/>
      <c r="P61" s="1"/>
    </row>
    <row r="62" spans="1:16" ht="52.5">
      <c r="A62" s="513" t="str">
        <f t="shared" si="4"/>
        <v>В .</v>
      </c>
      <c r="B62" s="514" t="s">
        <v>762</v>
      </c>
      <c r="C62" s="515" t="s">
        <v>763</v>
      </c>
      <c r="D62" s="516" t="s">
        <v>764</v>
      </c>
      <c r="E62" s="555" t="s">
        <v>765</v>
      </c>
      <c r="F62" s="517" t="s">
        <v>1469</v>
      </c>
      <c r="G62" s="524">
        <v>0</v>
      </c>
      <c r="H62" s="528">
        <v>0</v>
      </c>
      <c r="I62" s="520">
        <f t="shared" si="2"/>
        <v>55.32</v>
      </c>
      <c r="J62" s="521">
        <v>55.32</v>
      </c>
      <c r="K62" s="522">
        <f t="shared" si="3"/>
        <v>66.384</v>
      </c>
      <c r="L62" s="1"/>
      <c r="M62" s="1"/>
      <c r="N62" s="1"/>
      <c r="O62" s="1"/>
      <c r="P62" s="1"/>
    </row>
    <row r="63" spans="1:16" ht="52.5">
      <c r="A63" s="513" t="str">
        <f t="shared" si="4"/>
        <v>В .</v>
      </c>
      <c r="B63" s="514" t="s">
        <v>766</v>
      </c>
      <c r="C63" s="515" t="s">
        <v>767</v>
      </c>
      <c r="D63" s="516" t="s">
        <v>768</v>
      </c>
      <c r="E63" s="555" t="s">
        <v>769</v>
      </c>
      <c r="F63" s="523" t="s">
        <v>611</v>
      </c>
      <c r="G63" s="524">
        <v>0</v>
      </c>
      <c r="H63" s="528">
        <v>0</v>
      </c>
      <c r="I63" s="520">
        <f t="shared" si="2"/>
        <v>595.35</v>
      </c>
      <c r="J63" s="521">
        <v>595.35</v>
      </c>
      <c r="K63" s="522">
        <f t="shared" si="3"/>
        <v>714.42</v>
      </c>
      <c r="L63" s="1"/>
      <c r="M63" s="1"/>
      <c r="N63" s="1"/>
      <c r="O63" s="1"/>
      <c r="P63" s="1"/>
    </row>
    <row r="64" spans="1:16" ht="52.5">
      <c r="A64" s="513" t="str">
        <f t="shared" si="4"/>
        <v>В .</v>
      </c>
      <c r="B64" s="514" t="s">
        <v>770</v>
      </c>
      <c r="C64" s="515" t="s">
        <v>771</v>
      </c>
      <c r="D64" s="516" t="s">
        <v>772</v>
      </c>
      <c r="E64" s="555" t="s">
        <v>773</v>
      </c>
      <c r="F64" s="523" t="s">
        <v>611</v>
      </c>
      <c r="G64" s="524">
        <v>0</v>
      </c>
      <c r="H64" s="528">
        <v>0</v>
      </c>
      <c r="I64" s="520">
        <f t="shared" si="2"/>
        <v>383.11</v>
      </c>
      <c r="J64" s="521">
        <v>383.11</v>
      </c>
      <c r="K64" s="522">
        <f t="shared" si="3"/>
        <v>459.732</v>
      </c>
      <c r="L64" s="1"/>
      <c r="M64" s="1"/>
      <c r="N64" s="1"/>
      <c r="O64" s="1"/>
      <c r="P64" s="1"/>
    </row>
    <row r="65" spans="1:16" ht="78.75">
      <c r="A65" s="513" t="str">
        <f t="shared" si="4"/>
        <v>В .</v>
      </c>
      <c r="B65" s="514" t="s">
        <v>774</v>
      </c>
      <c r="C65" s="515" t="s">
        <v>775</v>
      </c>
      <c r="D65" s="516" t="s">
        <v>776</v>
      </c>
      <c r="E65" s="555" t="s">
        <v>777</v>
      </c>
      <c r="F65" s="517" t="s">
        <v>1468</v>
      </c>
      <c r="G65" s="524">
        <v>0</v>
      </c>
      <c r="H65" s="528">
        <v>0</v>
      </c>
      <c r="I65" s="520">
        <f t="shared" si="2"/>
        <v>164.24</v>
      </c>
      <c r="J65" s="521">
        <v>164.24</v>
      </c>
      <c r="K65" s="522">
        <f t="shared" si="3"/>
        <v>197.088</v>
      </c>
      <c r="L65" s="1"/>
      <c r="M65" s="1"/>
      <c r="N65" s="1"/>
      <c r="O65" s="1"/>
      <c r="P65" s="1"/>
    </row>
    <row r="66" spans="1:16" ht="78.75">
      <c r="A66" s="513" t="str">
        <f t="shared" si="4"/>
        <v>В .</v>
      </c>
      <c r="B66" s="514" t="s">
        <v>778</v>
      </c>
      <c r="C66" s="515" t="s">
        <v>779</v>
      </c>
      <c r="D66" s="516" t="s">
        <v>780</v>
      </c>
      <c r="E66" s="555" t="s">
        <v>781</v>
      </c>
      <c r="F66" s="517" t="s">
        <v>1468</v>
      </c>
      <c r="G66" s="524">
        <v>0</v>
      </c>
      <c r="H66" s="528">
        <v>0</v>
      </c>
      <c r="I66" s="520">
        <f t="shared" si="2"/>
        <v>205.29</v>
      </c>
      <c r="J66" s="521">
        <v>205.29</v>
      </c>
      <c r="K66" s="522">
        <f t="shared" si="3"/>
        <v>246.34799999999998</v>
      </c>
      <c r="L66" s="1"/>
      <c r="M66" s="1"/>
      <c r="N66" s="1"/>
      <c r="O66" s="1"/>
      <c r="P66" s="1"/>
    </row>
    <row r="67" spans="1:16" ht="26.25">
      <c r="A67" s="513" t="str">
        <f t="shared" si="4"/>
        <v>В .</v>
      </c>
      <c r="B67" s="514" t="s">
        <v>782</v>
      </c>
      <c r="C67" s="515"/>
      <c r="D67" s="516"/>
      <c r="E67" s="555" t="s">
        <v>783</v>
      </c>
      <c r="F67" s="517" t="s">
        <v>1469</v>
      </c>
      <c r="G67" s="524">
        <f>720/1.2</f>
        <v>600</v>
      </c>
      <c r="H67" s="519">
        <v>846.18</v>
      </c>
      <c r="I67" s="561">
        <f>0.48*330.46*2.6</f>
        <v>412.41407999999996</v>
      </c>
      <c r="J67" s="521">
        <v>1858.59</v>
      </c>
      <c r="K67" s="522">
        <f t="shared" si="3"/>
        <v>2230.308</v>
      </c>
      <c r="L67" s="1"/>
      <c r="M67" s="1"/>
      <c r="N67" s="1"/>
      <c r="O67" s="1"/>
      <c r="P67" s="1"/>
    </row>
    <row r="68" spans="1:16" ht="52.5">
      <c r="A68" s="513" t="str">
        <f t="shared" si="4"/>
        <v>В .</v>
      </c>
      <c r="B68" s="514" t="s">
        <v>784</v>
      </c>
      <c r="C68" s="515" t="s">
        <v>785</v>
      </c>
      <c r="D68" s="516"/>
      <c r="E68" s="555" t="s">
        <v>786</v>
      </c>
      <c r="F68" s="517" t="s">
        <v>1469</v>
      </c>
      <c r="G68" s="524">
        <f>984/1.2</f>
        <v>820</v>
      </c>
      <c r="H68" s="519">
        <v>846.18</v>
      </c>
      <c r="I68" s="561">
        <f>0.48*330.46*2.6</f>
        <v>412.41407999999996</v>
      </c>
      <c r="J68" s="521">
        <v>2078.59</v>
      </c>
      <c r="K68" s="522">
        <f t="shared" si="3"/>
        <v>2494.308</v>
      </c>
      <c r="L68" s="1"/>
      <c r="M68" s="1"/>
      <c r="N68" s="1"/>
      <c r="O68" s="1"/>
      <c r="P68" s="1"/>
    </row>
    <row r="69" spans="1:16" ht="26.25">
      <c r="A69" s="503"/>
      <c r="B69" s="562"/>
      <c r="C69" s="563"/>
      <c r="D69" s="564"/>
      <c r="E69" s="565"/>
      <c r="F69" s="566"/>
      <c r="G69" s="567"/>
      <c r="H69" s="568"/>
      <c r="I69" s="561"/>
      <c r="J69" s="569"/>
      <c r="K69" s="570"/>
      <c r="L69" s="1"/>
      <c r="M69" s="1"/>
      <c r="N69" s="1"/>
      <c r="O69" s="1"/>
      <c r="P69" s="1"/>
    </row>
    <row r="70" spans="1:16" ht="27" thickBot="1">
      <c r="A70" s="829" t="s">
        <v>787</v>
      </c>
      <c r="B70" s="830"/>
      <c r="C70" s="571"/>
      <c r="D70" s="496"/>
      <c r="E70" s="737" t="s">
        <v>788</v>
      </c>
      <c r="F70" s="497"/>
      <c r="G70" s="541"/>
      <c r="H70" s="542"/>
      <c r="I70" s="543"/>
      <c r="J70" s="544"/>
      <c r="K70" s="545"/>
      <c r="L70" s="1"/>
      <c r="M70" s="1"/>
      <c r="N70" s="1"/>
      <c r="O70" s="1"/>
      <c r="P70" s="1"/>
    </row>
    <row r="71" spans="1:16" ht="26.25">
      <c r="A71" s="503"/>
      <c r="B71" s="546"/>
      <c r="C71" s="572"/>
      <c r="D71" s="548"/>
      <c r="E71" s="740"/>
      <c r="F71" s="549"/>
      <c r="G71" s="550"/>
      <c r="H71" s="551"/>
      <c r="I71" s="552"/>
      <c r="J71" s="553"/>
      <c r="K71" s="554"/>
      <c r="L71" s="1"/>
      <c r="M71" s="1"/>
      <c r="N71" s="1"/>
      <c r="O71" s="1"/>
      <c r="P71" s="1"/>
    </row>
    <row r="72" spans="1:16" ht="52.5">
      <c r="A72" s="513" t="str">
        <f>+A70</f>
        <v>С .</v>
      </c>
      <c r="B72" s="514" t="s">
        <v>594</v>
      </c>
      <c r="C72" s="515" t="s">
        <v>789</v>
      </c>
      <c r="D72" s="516" t="s">
        <v>790</v>
      </c>
      <c r="E72" s="555" t="s">
        <v>791</v>
      </c>
      <c r="F72" s="517" t="s">
        <v>1468</v>
      </c>
      <c r="G72" s="518">
        <f>+J72-I72</f>
        <v>198.17682799999994</v>
      </c>
      <c r="H72" s="519">
        <v>0</v>
      </c>
      <c r="I72" s="573">
        <f>1.2982*330.46</f>
        <v>429.003172</v>
      </c>
      <c r="J72" s="521">
        <v>627.18</v>
      </c>
      <c r="K72" s="522">
        <f>+$K72*$L$5</f>
        <v>752.6159999999999</v>
      </c>
      <c r="L72" s="1"/>
      <c r="M72" s="1"/>
      <c r="N72" s="1"/>
      <c r="O72" s="1"/>
      <c r="P72" s="1"/>
    </row>
    <row r="73" spans="1:16" ht="78.75">
      <c r="A73" s="513" t="str">
        <f>+A72</f>
        <v>С .</v>
      </c>
      <c r="B73" s="514" t="s">
        <v>598</v>
      </c>
      <c r="C73" s="515" t="s">
        <v>792</v>
      </c>
      <c r="D73" s="516"/>
      <c r="E73" s="555" t="s">
        <v>793</v>
      </c>
      <c r="F73" s="517" t="s">
        <v>1468</v>
      </c>
      <c r="G73" s="518">
        <f>+(J73-I73)*0.9</f>
        <v>1042.9338409200004</v>
      </c>
      <c r="H73" s="519">
        <f>+J73-(G73+I73)</f>
        <v>115.88153788</v>
      </c>
      <c r="I73" s="573">
        <f>+(0.0258+0.007+0.0207+0.006+0.01+0.001+0.1817+0.2725+0.0136+0.12+0.0952+0.0459+0.0579+0.0474)*330.46*2.6</f>
        <v>777.3146211999998</v>
      </c>
      <c r="J73" s="521">
        <v>1936.13</v>
      </c>
      <c r="K73" s="522">
        <f>+$K73*$L$5</f>
        <v>2323.356</v>
      </c>
      <c r="L73" s="1"/>
      <c r="M73" s="1"/>
      <c r="N73" s="1"/>
      <c r="O73" s="1"/>
      <c r="P73" s="1"/>
    </row>
    <row r="74" spans="1:16" ht="52.5">
      <c r="A74" s="513" t="str">
        <f>+A73</f>
        <v>С .</v>
      </c>
      <c r="B74" s="514" t="s">
        <v>603</v>
      </c>
      <c r="C74" s="515" t="s">
        <v>794</v>
      </c>
      <c r="D74" s="516" t="s">
        <v>795</v>
      </c>
      <c r="E74" s="555" t="s">
        <v>796</v>
      </c>
      <c r="F74" s="517" t="s">
        <v>1468</v>
      </c>
      <c r="G74" s="518">
        <f>+G73*2</f>
        <v>2085.867681840001</v>
      </c>
      <c r="H74" s="519">
        <f>+H73*2</f>
        <v>231.76307576</v>
      </c>
      <c r="I74" s="573">
        <f>+I73*1.5</f>
        <v>1165.9719317999998</v>
      </c>
      <c r="J74" s="521">
        <v>3483.6</v>
      </c>
      <c r="K74" s="522">
        <f>+$K74*$L$5</f>
        <v>4180.32</v>
      </c>
      <c r="L74" s="1"/>
      <c r="M74" s="1"/>
      <c r="N74" s="1"/>
      <c r="O74" s="1"/>
      <c r="P74" s="1"/>
    </row>
    <row r="75" spans="1:16" ht="26.25">
      <c r="A75" s="574"/>
      <c r="B75" s="562"/>
      <c r="C75" s="563"/>
      <c r="D75" s="564"/>
      <c r="E75" s="565"/>
      <c r="F75" s="566"/>
      <c r="G75" s="567"/>
      <c r="H75" s="568"/>
      <c r="I75" s="561"/>
      <c r="J75" s="569"/>
      <c r="K75" s="570"/>
      <c r="L75" s="1"/>
      <c r="M75" s="1"/>
      <c r="N75" s="1"/>
      <c r="O75" s="1"/>
      <c r="P75" s="1"/>
    </row>
    <row r="76" spans="1:16" ht="27" thickBot="1">
      <c r="A76" s="829" t="s">
        <v>797</v>
      </c>
      <c r="B76" s="830"/>
      <c r="C76" s="571"/>
      <c r="D76" s="496"/>
      <c r="E76" s="737" t="s">
        <v>798</v>
      </c>
      <c r="F76" s="497"/>
      <c r="G76" s="541"/>
      <c r="H76" s="542"/>
      <c r="I76" s="543"/>
      <c r="J76" s="544"/>
      <c r="K76" s="545"/>
      <c r="L76" s="1"/>
      <c r="M76" s="1"/>
      <c r="N76" s="1"/>
      <c r="O76" s="1"/>
      <c r="P76" s="1"/>
    </row>
    <row r="77" spans="1:16" ht="26.25">
      <c r="A77" s="503"/>
      <c r="B77" s="546"/>
      <c r="C77" s="572"/>
      <c r="D77" s="548"/>
      <c r="E77" s="740"/>
      <c r="F77" s="549"/>
      <c r="G77" s="550"/>
      <c r="H77" s="551"/>
      <c r="I77" s="552"/>
      <c r="J77" s="553"/>
      <c r="K77" s="554"/>
      <c r="L77" s="1"/>
      <c r="M77" s="1"/>
      <c r="N77" s="1"/>
      <c r="O77" s="1"/>
      <c r="P77" s="1"/>
    </row>
    <row r="78" spans="1:16" ht="78.75">
      <c r="A78" s="513" t="str">
        <f>+A76</f>
        <v>D .</v>
      </c>
      <c r="B78" s="514" t="s">
        <v>594</v>
      </c>
      <c r="C78" s="515" t="s">
        <v>799</v>
      </c>
      <c r="D78" s="516" t="s">
        <v>800</v>
      </c>
      <c r="E78" s="555" t="s">
        <v>801</v>
      </c>
      <c r="F78" s="523" t="s">
        <v>802</v>
      </c>
      <c r="G78" s="524">
        <v>85</v>
      </c>
      <c r="H78" s="528">
        <f>+G78*0.1</f>
        <v>8.5</v>
      </c>
      <c r="I78" s="520">
        <f>+J78-(G78+H78)</f>
        <v>135.87</v>
      </c>
      <c r="J78" s="521">
        <v>229.37</v>
      </c>
      <c r="K78" s="522">
        <f>+$K78*$L$5</f>
        <v>275.24399999999997</v>
      </c>
      <c r="L78" s="1"/>
      <c r="M78" s="1"/>
      <c r="N78" s="1"/>
      <c r="O78" s="1"/>
      <c r="P78" s="1"/>
    </row>
    <row r="79" spans="1:16" ht="52.5">
      <c r="A79" s="513" t="str">
        <f>+A78</f>
        <v>D .</v>
      </c>
      <c r="B79" s="514" t="s">
        <v>598</v>
      </c>
      <c r="C79" s="515" t="s">
        <v>803</v>
      </c>
      <c r="D79" s="516" t="s">
        <v>804</v>
      </c>
      <c r="E79" s="555" t="s">
        <v>805</v>
      </c>
      <c r="F79" s="523" t="s">
        <v>802</v>
      </c>
      <c r="G79" s="524">
        <v>85</v>
      </c>
      <c r="H79" s="528">
        <f>+G79*0.1</f>
        <v>8.5</v>
      </c>
      <c r="I79" s="520">
        <f>+J79-(G79+H79)</f>
        <v>81.5</v>
      </c>
      <c r="J79" s="521">
        <v>175</v>
      </c>
      <c r="K79" s="522">
        <f>+$K79*$L$5</f>
        <v>210</v>
      </c>
      <c r="L79" s="1"/>
      <c r="M79" s="1"/>
      <c r="N79" s="1"/>
      <c r="O79" s="1"/>
      <c r="P79" s="1"/>
    </row>
    <row r="80" spans="1:16" ht="26.25">
      <c r="A80" s="575"/>
      <c r="B80" s="562"/>
      <c r="C80" s="563"/>
      <c r="D80" s="564"/>
      <c r="E80" s="565"/>
      <c r="F80" s="535"/>
      <c r="G80" s="536"/>
      <c r="H80" s="537"/>
      <c r="I80" s="538"/>
      <c r="J80" s="569"/>
      <c r="K80" s="570"/>
      <c r="L80" s="1"/>
      <c r="M80" s="1"/>
      <c r="N80" s="1"/>
      <c r="O80" s="1"/>
      <c r="P80" s="1"/>
    </row>
    <row r="81" spans="1:16" ht="27" thickBot="1">
      <c r="A81" s="829" t="s">
        <v>806</v>
      </c>
      <c r="B81" s="830"/>
      <c r="C81" s="571"/>
      <c r="D81" s="496"/>
      <c r="E81" s="737" t="s">
        <v>807</v>
      </c>
      <c r="F81" s="497"/>
      <c r="G81" s="541"/>
      <c r="H81" s="542"/>
      <c r="I81" s="543"/>
      <c r="J81" s="544"/>
      <c r="K81" s="545"/>
      <c r="L81" s="1"/>
      <c r="M81" s="1"/>
      <c r="N81" s="1"/>
      <c r="O81" s="1"/>
      <c r="P81" s="1"/>
    </row>
    <row r="82" spans="1:16" ht="26.25">
      <c r="A82" s="503"/>
      <c r="B82" s="546"/>
      <c r="C82" s="572"/>
      <c r="D82" s="548"/>
      <c r="E82" s="740"/>
      <c r="F82" s="549"/>
      <c r="G82" s="550"/>
      <c r="H82" s="551"/>
      <c r="I82" s="552"/>
      <c r="J82" s="553"/>
      <c r="K82" s="554"/>
      <c r="L82" s="1"/>
      <c r="M82" s="1"/>
      <c r="N82" s="1"/>
      <c r="O82" s="1"/>
      <c r="P82" s="1"/>
    </row>
    <row r="83" spans="1:16" ht="52.5">
      <c r="A83" s="513" t="str">
        <f>+A81</f>
        <v>E .</v>
      </c>
      <c r="B83" s="514" t="s">
        <v>594</v>
      </c>
      <c r="C83" s="515" t="s">
        <v>808</v>
      </c>
      <c r="D83" s="516" t="s">
        <v>809</v>
      </c>
      <c r="E83" s="555" t="s">
        <v>810</v>
      </c>
      <c r="F83" s="517" t="s">
        <v>1469</v>
      </c>
      <c r="G83" s="518">
        <f>+J83-(H83+I83)</f>
        <v>6586.74</v>
      </c>
      <c r="H83" s="519">
        <v>1089.86</v>
      </c>
      <c r="I83" s="520">
        <v>3823.4</v>
      </c>
      <c r="J83" s="521">
        <v>11500</v>
      </c>
      <c r="K83" s="522">
        <f aca="true" t="shared" si="5" ref="K83:K90">+$K83*$L$5</f>
        <v>13800</v>
      </c>
      <c r="L83" s="1"/>
      <c r="M83" s="1"/>
      <c r="N83" s="1"/>
      <c r="O83" s="1"/>
      <c r="P83" s="1"/>
    </row>
    <row r="84" spans="1:16" ht="52.5">
      <c r="A84" s="513" t="str">
        <f>+A83</f>
        <v>E .</v>
      </c>
      <c r="B84" s="514" t="s">
        <v>598</v>
      </c>
      <c r="C84" s="515" t="s">
        <v>811</v>
      </c>
      <c r="D84" s="516" t="s">
        <v>812</v>
      </c>
      <c r="E84" s="555" t="s">
        <v>813</v>
      </c>
      <c r="F84" s="517" t="s">
        <v>1469</v>
      </c>
      <c r="G84" s="518">
        <f>+J84-(H84+I84)</f>
        <v>6822.06</v>
      </c>
      <c r="H84" s="519">
        <v>1089.86</v>
      </c>
      <c r="I84" s="520">
        <f>3823.4*1.2</f>
        <v>4588.08</v>
      </c>
      <c r="J84" s="521">
        <v>12500</v>
      </c>
      <c r="K84" s="522">
        <f t="shared" si="5"/>
        <v>15000</v>
      </c>
      <c r="L84" s="1"/>
      <c r="M84" s="1"/>
      <c r="N84" s="1"/>
      <c r="O84" s="1"/>
      <c r="P84" s="1"/>
    </row>
    <row r="85" spans="1:16" ht="52.5">
      <c r="A85" s="513" t="str">
        <f aca="true" t="shared" si="6" ref="A85:A90">+A84</f>
        <v>E .</v>
      </c>
      <c r="B85" s="514" t="s">
        <v>603</v>
      </c>
      <c r="C85" s="515" t="s">
        <v>814</v>
      </c>
      <c r="D85" s="516" t="s">
        <v>815</v>
      </c>
      <c r="E85" s="555" t="s">
        <v>816</v>
      </c>
      <c r="F85" s="517" t="s">
        <v>1469</v>
      </c>
      <c r="G85" s="518">
        <f>+J85-(H85+I85)</f>
        <v>7322.06</v>
      </c>
      <c r="H85" s="519">
        <v>1089.86</v>
      </c>
      <c r="I85" s="520">
        <f>3823.4*1.2</f>
        <v>4588.08</v>
      </c>
      <c r="J85" s="521">
        <v>13000</v>
      </c>
      <c r="K85" s="522">
        <f t="shared" si="5"/>
        <v>15600</v>
      </c>
      <c r="L85" s="1"/>
      <c r="M85" s="1"/>
      <c r="N85" s="1"/>
      <c r="O85" s="1"/>
      <c r="P85" s="1"/>
    </row>
    <row r="86" spans="1:16" ht="52.5">
      <c r="A86" s="513" t="str">
        <f t="shared" si="6"/>
        <v>E .</v>
      </c>
      <c r="B86" s="514" t="s">
        <v>607</v>
      </c>
      <c r="C86" s="515" t="s">
        <v>817</v>
      </c>
      <c r="D86" s="516" t="s">
        <v>818</v>
      </c>
      <c r="E86" s="555" t="s">
        <v>819</v>
      </c>
      <c r="F86" s="517" t="s">
        <v>1469</v>
      </c>
      <c r="G86" s="518">
        <f>+J86-(H86+I86)</f>
        <v>8822.060000000001</v>
      </c>
      <c r="H86" s="519">
        <v>1089.86</v>
      </c>
      <c r="I86" s="520">
        <f>3823.4*1.2</f>
        <v>4588.08</v>
      </c>
      <c r="J86" s="521">
        <v>14500</v>
      </c>
      <c r="K86" s="522">
        <f t="shared" si="5"/>
        <v>17400</v>
      </c>
      <c r="L86" s="1"/>
      <c r="M86" s="1"/>
      <c r="N86" s="1"/>
      <c r="O86" s="1"/>
      <c r="P86" s="1"/>
    </row>
    <row r="87" spans="1:16" ht="52.5">
      <c r="A87" s="513" t="str">
        <f t="shared" si="6"/>
        <v>E .</v>
      </c>
      <c r="B87" s="514" t="s">
        <v>612</v>
      </c>
      <c r="C87" s="515"/>
      <c r="D87" s="516"/>
      <c r="E87" s="555" t="s">
        <v>820</v>
      </c>
      <c r="F87" s="517" t="s">
        <v>1469</v>
      </c>
      <c r="G87" s="518">
        <f>+J87-(H87+I87)</f>
        <v>9522.060000000001</v>
      </c>
      <c r="H87" s="519">
        <v>1089.86</v>
      </c>
      <c r="I87" s="520">
        <f>3823.4*1.2</f>
        <v>4588.08</v>
      </c>
      <c r="J87" s="521">
        <v>15200</v>
      </c>
      <c r="K87" s="522">
        <f t="shared" si="5"/>
        <v>18240</v>
      </c>
      <c r="L87" s="1"/>
      <c r="M87" s="1"/>
      <c r="N87" s="1"/>
      <c r="O87" s="1"/>
      <c r="P87" s="1"/>
    </row>
    <row r="88" spans="1:16" ht="78.75">
      <c r="A88" s="513" t="str">
        <f t="shared" si="6"/>
        <v>E .</v>
      </c>
      <c r="B88" s="514" t="s">
        <v>616</v>
      </c>
      <c r="C88" s="515"/>
      <c r="D88" s="516"/>
      <c r="E88" s="576" t="s">
        <v>821</v>
      </c>
      <c r="F88" s="577" t="s">
        <v>822</v>
      </c>
      <c r="G88" s="518">
        <f aca="true" t="shared" si="7" ref="G88:I89">+G83*0.1</f>
        <v>658.674</v>
      </c>
      <c r="H88" s="519">
        <f t="shared" si="7"/>
        <v>108.98599999999999</v>
      </c>
      <c r="I88" s="520">
        <f t="shared" si="7"/>
        <v>382.34000000000003</v>
      </c>
      <c r="J88" s="521">
        <v>1150</v>
      </c>
      <c r="K88" s="522">
        <f t="shared" si="5"/>
        <v>1380</v>
      </c>
      <c r="L88" s="1"/>
      <c r="M88" s="1"/>
      <c r="N88" s="1"/>
      <c r="O88" s="1"/>
      <c r="P88" s="1"/>
    </row>
    <row r="89" spans="1:16" ht="78.75">
      <c r="A89" s="513" t="str">
        <f t="shared" si="6"/>
        <v>E .</v>
      </c>
      <c r="B89" s="514" t="s">
        <v>619</v>
      </c>
      <c r="C89" s="515"/>
      <c r="D89" s="516"/>
      <c r="E89" s="576" t="s">
        <v>823</v>
      </c>
      <c r="F89" s="517" t="s">
        <v>1468</v>
      </c>
      <c r="G89" s="518">
        <f t="shared" si="7"/>
        <v>682.2060000000001</v>
      </c>
      <c r="H89" s="519">
        <f t="shared" si="7"/>
        <v>108.98599999999999</v>
      </c>
      <c r="I89" s="520">
        <f t="shared" si="7"/>
        <v>458.808</v>
      </c>
      <c r="J89" s="521">
        <v>1250</v>
      </c>
      <c r="K89" s="522">
        <f t="shared" si="5"/>
        <v>1500</v>
      </c>
      <c r="L89" s="1"/>
      <c r="M89" s="1"/>
      <c r="N89" s="1"/>
      <c r="O89" s="1"/>
      <c r="P89" s="1"/>
    </row>
    <row r="90" spans="1:16" ht="78.75">
      <c r="A90" s="513" t="str">
        <f t="shared" si="6"/>
        <v>E .</v>
      </c>
      <c r="B90" s="514" t="s">
        <v>622</v>
      </c>
      <c r="C90" s="526" t="s">
        <v>824</v>
      </c>
      <c r="D90" s="527"/>
      <c r="E90" s="578" t="s">
        <v>825</v>
      </c>
      <c r="F90" s="517" t="s">
        <v>1468</v>
      </c>
      <c r="G90" s="518">
        <f>+G86*0.2</f>
        <v>1764.4120000000003</v>
      </c>
      <c r="H90" s="519">
        <f>+H86*2.1</f>
        <v>2288.7059999999997</v>
      </c>
      <c r="I90" s="573">
        <f>+J90-(G90+H90)</f>
        <v>2546.882</v>
      </c>
      <c r="J90" s="529">
        <v>6600</v>
      </c>
      <c r="K90" s="530">
        <f t="shared" si="5"/>
        <v>7920</v>
      </c>
      <c r="L90" s="1"/>
      <c r="M90" s="1"/>
      <c r="N90" s="1"/>
      <c r="O90" s="1"/>
      <c r="P90" s="1"/>
    </row>
    <row r="91" spans="1:16" ht="26.25">
      <c r="A91" s="575"/>
      <c r="B91" s="562"/>
      <c r="C91" s="533"/>
      <c r="D91" s="534"/>
      <c r="E91" s="579"/>
      <c r="F91" s="566"/>
      <c r="G91" s="567"/>
      <c r="H91" s="568"/>
      <c r="I91" s="561"/>
      <c r="J91" s="539"/>
      <c r="K91" s="540"/>
      <c r="L91" s="1"/>
      <c r="M91" s="1"/>
      <c r="N91" s="1"/>
      <c r="O91" s="1"/>
      <c r="P91" s="1"/>
    </row>
    <row r="92" spans="1:16" ht="27" thickBot="1">
      <c r="A92" s="829" t="s">
        <v>826</v>
      </c>
      <c r="B92" s="830"/>
      <c r="C92" s="571"/>
      <c r="D92" s="496"/>
      <c r="E92" s="737" t="s">
        <v>827</v>
      </c>
      <c r="F92" s="497"/>
      <c r="G92" s="541"/>
      <c r="H92" s="542"/>
      <c r="I92" s="543"/>
      <c r="J92" s="544"/>
      <c r="K92" s="545"/>
      <c r="L92" s="1"/>
      <c r="M92" s="1"/>
      <c r="N92" s="1"/>
      <c r="O92" s="1"/>
      <c r="P92" s="1"/>
    </row>
    <row r="93" spans="1:16" ht="26.25">
      <c r="A93" s="575"/>
      <c r="B93" s="580"/>
      <c r="C93" s="533"/>
      <c r="D93" s="534"/>
      <c r="E93" s="579"/>
      <c r="F93" s="566"/>
      <c r="G93" s="567"/>
      <c r="H93" s="568"/>
      <c r="I93" s="561"/>
      <c r="J93" s="539"/>
      <c r="K93" s="540"/>
      <c r="L93" s="1"/>
      <c r="M93" s="1"/>
      <c r="N93" s="1"/>
      <c r="O93" s="1"/>
      <c r="P93" s="1"/>
    </row>
    <row r="94" spans="1:16" ht="105">
      <c r="A94" s="513" t="str">
        <f>+A92</f>
        <v>F .</v>
      </c>
      <c r="B94" s="514" t="s">
        <v>594</v>
      </c>
      <c r="C94" s="526" t="s">
        <v>828</v>
      </c>
      <c r="D94" s="534"/>
      <c r="E94" s="579" t="s">
        <v>829</v>
      </c>
      <c r="F94" s="517" t="s">
        <v>1468</v>
      </c>
      <c r="G94" s="567">
        <f>(5*2.5*30)+200</f>
        <v>575</v>
      </c>
      <c r="H94" s="568">
        <f>+G94*0.1</f>
        <v>57.5</v>
      </c>
      <c r="I94" s="561">
        <f>1.515*330.46</f>
        <v>500.64689999999996</v>
      </c>
      <c r="J94" s="539">
        <v>1133.15</v>
      </c>
      <c r="K94" s="540">
        <f>+$K94*$L$5</f>
        <v>1359.78</v>
      </c>
      <c r="L94" s="1"/>
      <c r="M94" s="1"/>
      <c r="N94" s="1"/>
      <c r="O94" s="1"/>
      <c r="P94" s="1"/>
    </row>
    <row r="95" spans="1:16" ht="105">
      <c r="A95" s="513" t="str">
        <f>+A94</f>
        <v>F .</v>
      </c>
      <c r="B95" s="514" t="s">
        <v>598</v>
      </c>
      <c r="C95" s="526" t="s">
        <v>828</v>
      </c>
      <c r="D95" s="534"/>
      <c r="E95" s="579" t="s">
        <v>830</v>
      </c>
      <c r="F95" s="517" t="s">
        <v>1468</v>
      </c>
      <c r="G95" s="567">
        <f>(45*12.5)+200</f>
        <v>762.5</v>
      </c>
      <c r="H95" s="568">
        <f>+G95*0.1</f>
        <v>76.25</v>
      </c>
      <c r="I95" s="561">
        <f>1.515*330.46</f>
        <v>500.64689999999996</v>
      </c>
      <c r="J95" s="539">
        <v>1339.4</v>
      </c>
      <c r="K95" s="540">
        <f>+$K95*$L$5</f>
        <v>1607.28</v>
      </c>
      <c r="L95" s="1"/>
      <c r="M95" s="1"/>
      <c r="N95" s="1"/>
      <c r="O95" s="1"/>
      <c r="P95" s="1"/>
    </row>
    <row r="96" spans="1:16" ht="105">
      <c r="A96" s="513" t="str">
        <f>+A95</f>
        <v>F .</v>
      </c>
      <c r="B96" s="514" t="s">
        <v>603</v>
      </c>
      <c r="C96" s="526" t="s">
        <v>828</v>
      </c>
      <c r="D96" s="534"/>
      <c r="E96" s="579" t="s">
        <v>831</v>
      </c>
      <c r="F96" s="517" t="s">
        <v>1468</v>
      </c>
      <c r="G96" s="567">
        <f>+G95*1.15</f>
        <v>876.8749999999999</v>
      </c>
      <c r="H96" s="568">
        <f>+G96*0.1</f>
        <v>87.6875</v>
      </c>
      <c r="I96" s="561">
        <f>2.595*330.46</f>
        <v>857.5437000000001</v>
      </c>
      <c r="J96" s="539">
        <v>1822.11</v>
      </c>
      <c r="K96" s="540">
        <f>+$K96*$L$5</f>
        <v>2186.5319999999997</v>
      </c>
      <c r="L96" s="1"/>
      <c r="M96" s="1"/>
      <c r="N96" s="1"/>
      <c r="O96" s="1"/>
      <c r="P96" s="1"/>
    </row>
    <row r="97" spans="1:16" ht="78.75">
      <c r="A97" s="513" t="str">
        <f>+A96</f>
        <v>F .</v>
      </c>
      <c r="B97" s="514" t="s">
        <v>607</v>
      </c>
      <c r="C97" s="526" t="s">
        <v>832</v>
      </c>
      <c r="D97" s="534"/>
      <c r="E97" s="579" t="s">
        <v>833</v>
      </c>
      <c r="F97" s="517" t="s">
        <v>1468</v>
      </c>
      <c r="G97" s="567">
        <v>985</v>
      </c>
      <c r="H97" s="568">
        <f>+G97*0.1</f>
        <v>98.5</v>
      </c>
      <c r="I97" s="520">
        <f>+J97-(G97+H97)</f>
        <v>1156.5</v>
      </c>
      <c r="J97" s="539">
        <v>2240</v>
      </c>
      <c r="K97" s="540">
        <f>+$K97*$L$5</f>
        <v>2688</v>
      </c>
      <c r="L97" s="1"/>
      <c r="M97" s="1"/>
      <c r="N97" s="1"/>
      <c r="O97" s="1"/>
      <c r="P97" s="1"/>
    </row>
    <row r="98" spans="1:16" ht="78.75">
      <c r="A98" s="513" t="str">
        <f>+A97</f>
        <v>F .</v>
      </c>
      <c r="B98" s="514" t="s">
        <v>612</v>
      </c>
      <c r="C98" s="526" t="s">
        <v>834</v>
      </c>
      <c r="D98" s="534"/>
      <c r="E98" s="579" t="s">
        <v>835</v>
      </c>
      <c r="F98" s="517" t="s">
        <v>1468</v>
      </c>
      <c r="G98" s="567">
        <f>+J98-I98</f>
        <v>465.27286</v>
      </c>
      <c r="H98" s="568">
        <v>0</v>
      </c>
      <c r="I98" s="561">
        <f>0.559*330.46</f>
        <v>184.72714000000002</v>
      </c>
      <c r="J98" s="539">
        <v>650</v>
      </c>
      <c r="K98" s="540">
        <f>+$K98*$L$5</f>
        <v>780</v>
      </c>
      <c r="L98" s="1"/>
      <c r="M98" s="1"/>
      <c r="N98" s="1"/>
      <c r="O98" s="1"/>
      <c r="P98" s="1"/>
    </row>
    <row r="99" spans="1:16" ht="26.25">
      <c r="A99" s="575"/>
      <c r="B99" s="562"/>
      <c r="C99" s="533"/>
      <c r="D99" s="534"/>
      <c r="E99" s="579"/>
      <c r="F99" s="566"/>
      <c r="G99" s="567"/>
      <c r="H99" s="568"/>
      <c r="I99" s="561"/>
      <c r="J99" s="539"/>
      <c r="K99" s="540"/>
      <c r="L99" s="1"/>
      <c r="M99" s="1"/>
      <c r="N99" s="1"/>
      <c r="O99" s="1"/>
      <c r="P99" s="1"/>
    </row>
    <row r="100" spans="1:16" ht="27" thickBot="1">
      <c r="A100" s="829"/>
      <c r="B100" s="830"/>
      <c r="C100" s="571"/>
      <c r="D100" s="496"/>
      <c r="E100" s="737"/>
      <c r="F100" s="497"/>
      <c r="G100" s="541"/>
      <c r="H100" s="542"/>
      <c r="I100" s="543"/>
      <c r="J100" s="544"/>
      <c r="K100" s="545"/>
      <c r="L100" s="1"/>
      <c r="M100" s="1"/>
      <c r="N100" s="1"/>
      <c r="O100" s="1"/>
      <c r="P100" s="1"/>
    </row>
    <row r="101" spans="1:16" ht="27" thickBot="1">
      <c r="A101" s="829" t="s">
        <v>836</v>
      </c>
      <c r="B101" s="830"/>
      <c r="C101" s="571"/>
      <c r="D101" s="496"/>
      <c r="E101" s="737" t="s">
        <v>837</v>
      </c>
      <c r="F101" s="497"/>
      <c r="G101" s="541"/>
      <c r="H101" s="542"/>
      <c r="I101" s="543"/>
      <c r="J101" s="544"/>
      <c r="K101" s="545"/>
      <c r="L101" s="1"/>
      <c r="M101" s="1"/>
      <c r="N101" s="1"/>
      <c r="O101" s="1"/>
      <c r="P101" s="1"/>
    </row>
    <row r="102" spans="1:16" ht="26.25">
      <c r="A102" s="503"/>
      <c r="B102" s="546"/>
      <c r="C102" s="572"/>
      <c r="D102" s="548"/>
      <c r="E102" s="740"/>
      <c r="F102" s="549"/>
      <c r="G102" s="550"/>
      <c r="H102" s="581"/>
      <c r="I102" s="552"/>
      <c r="J102" s="553"/>
      <c r="K102" s="554"/>
      <c r="L102" s="1"/>
      <c r="M102" s="1"/>
      <c r="N102" s="1"/>
      <c r="O102" s="1"/>
      <c r="P102" s="1"/>
    </row>
    <row r="103" spans="1:16" ht="78.75">
      <c r="A103" s="513" t="str">
        <f>+A101</f>
        <v>G .</v>
      </c>
      <c r="B103" s="514" t="s">
        <v>594</v>
      </c>
      <c r="C103" s="515" t="s">
        <v>838</v>
      </c>
      <c r="D103" s="527"/>
      <c r="E103" s="560" t="s">
        <v>1470</v>
      </c>
      <c r="F103" s="517" t="s">
        <v>602</v>
      </c>
      <c r="G103" s="518">
        <f>3550*1.05</f>
        <v>3727.5</v>
      </c>
      <c r="H103" s="519">
        <f>+J103-(G103+I103)</f>
        <v>1302.0314999999991</v>
      </c>
      <c r="I103" s="573">
        <f>+(2.875*330.46*2.6)+(8500*0.2)</f>
        <v>4170.1885</v>
      </c>
      <c r="J103" s="529">
        <v>9199.72</v>
      </c>
      <c r="K103" s="530">
        <f aca="true" t="shared" si="8" ref="K103:K157">+$K103*$L$5</f>
        <v>11039.663999999999</v>
      </c>
      <c r="L103" s="1"/>
      <c r="M103" s="1"/>
      <c r="N103" s="1"/>
      <c r="O103" s="1"/>
      <c r="P103" s="1"/>
    </row>
    <row r="104" spans="1:16" ht="78.75">
      <c r="A104" s="513" t="str">
        <f>+A103</f>
        <v>G .</v>
      </c>
      <c r="B104" s="514" t="s">
        <v>598</v>
      </c>
      <c r="C104" s="515" t="s">
        <v>839</v>
      </c>
      <c r="D104" s="527"/>
      <c r="E104" s="560" t="s">
        <v>1471</v>
      </c>
      <c r="F104" s="517" t="s">
        <v>602</v>
      </c>
      <c r="G104" s="518">
        <f>5260*1.05</f>
        <v>5523</v>
      </c>
      <c r="H104" s="519">
        <f>+J104-(G104+I104)</f>
        <v>3333.9060640000007</v>
      </c>
      <c r="I104" s="573">
        <f>+(3.316*330.46*2.6)+(8500*0.2)</f>
        <v>4549.093935999999</v>
      </c>
      <c r="J104" s="529">
        <v>13406</v>
      </c>
      <c r="K104" s="530">
        <f t="shared" si="8"/>
        <v>16087.199999999999</v>
      </c>
      <c r="L104" s="1"/>
      <c r="M104" s="1"/>
      <c r="N104" s="1"/>
      <c r="O104" s="1"/>
      <c r="P104" s="1"/>
    </row>
    <row r="105" spans="1:16" ht="78.75">
      <c r="A105" s="513" t="str">
        <f aca="true" t="shared" si="9" ref="A105:A157">+A104</f>
        <v>G .</v>
      </c>
      <c r="B105" s="514" t="s">
        <v>603</v>
      </c>
      <c r="C105" s="515" t="s">
        <v>840</v>
      </c>
      <c r="D105" s="527"/>
      <c r="E105" s="560" t="s">
        <v>1472</v>
      </c>
      <c r="F105" s="517" t="s">
        <v>602</v>
      </c>
      <c r="G105" s="518">
        <f>7000*1.05</f>
        <v>7350</v>
      </c>
      <c r="H105" s="519">
        <f>+J105-(G105+I105)</f>
        <v>5181.1528880000005</v>
      </c>
      <c r="I105" s="573">
        <f>+(3.822*330.46*2.6)+(8500*0.2)</f>
        <v>4983.8471119999995</v>
      </c>
      <c r="J105" s="529">
        <v>17515</v>
      </c>
      <c r="K105" s="530">
        <f t="shared" si="8"/>
        <v>21018</v>
      </c>
      <c r="L105" s="1"/>
      <c r="M105" s="1"/>
      <c r="N105" s="1"/>
      <c r="O105" s="1"/>
      <c r="P105" s="1"/>
    </row>
    <row r="106" spans="1:16" ht="78.75">
      <c r="A106" s="513" t="str">
        <f t="shared" si="9"/>
        <v>G .</v>
      </c>
      <c r="B106" s="514" t="s">
        <v>607</v>
      </c>
      <c r="C106" s="515" t="s">
        <v>841</v>
      </c>
      <c r="D106" s="527"/>
      <c r="E106" s="560" t="s">
        <v>1473</v>
      </c>
      <c r="F106" s="517" t="s">
        <v>602</v>
      </c>
      <c r="G106" s="518">
        <f>10430*1.05</f>
        <v>10951.5</v>
      </c>
      <c r="H106" s="519">
        <f>+J106-(G106+I106)</f>
        <v>5286.2681768</v>
      </c>
      <c r="I106" s="573">
        <f>+I105*1.1</f>
        <v>5482.2318232</v>
      </c>
      <c r="J106" s="529">
        <v>21720</v>
      </c>
      <c r="K106" s="530">
        <f t="shared" si="8"/>
        <v>26064</v>
      </c>
      <c r="L106" s="1"/>
      <c r="M106" s="1"/>
      <c r="N106" s="1"/>
      <c r="O106" s="1"/>
      <c r="P106" s="1"/>
    </row>
    <row r="107" spans="1:16" ht="78.75">
      <c r="A107" s="513" t="str">
        <f t="shared" si="9"/>
        <v>G .</v>
      </c>
      <c r="B107" s="514" t="s">
        <v>612</v>
      </c>
      <c r="C107" s="515" t="s">
        <v>842</v>
      </c>
      <c r="D107" s="527"/>
      <c r="E107" s="560" t="s">
        <v>1474</v>
      </c>
      <c r="F107" s="517" t="s">
        <v>602</v>
      </c>
      <c r="G107" s="518">
        <f>6000*1.05</f>
        <v>6300</v>
      </c>
      <c r="H107" s="519">
        <v>5181.1528880000005</v>
      </c>
      <c r="I107" s="573">
        <f>+I105</f>
        <v>4983.8471119999995</v>
      </c>
      <c r="J107" s="529">
        <f>+G107+H107+I107</f>
        <v>16465</v>
      </c>
      <c r="K107" s="530">
        <f t="shared" si="8"/>
        <v>19758</v>
      </c>
      <c r="L107" s="1"/>
      <c r="M107" s="1"/>
      <c r="N107" s="1"/>
      <c r="O107" s="1"/>
      <c r="P107" s="1"/>
    </row>
    <row r="108" spans="1:16" ht="78.75">
      <c r="A108" s="513" t="str">
        <f t="shared" si="9"/>
        <v>G .</v>
      </c>
      <c r="B108" s="514" t="s">
        <v>616</v>
      </c>
      <c r="C108" s="515" t="s">
        <v>843</v>
      </c>
      <c r="D108" s="527"/>
      <c r="E108" s="560" t="s">
        <v>1475</v>
      </c>
      <c r="F108" s="517" t="s">
        <v>602</v>
      </c>
      <c r="G108" s="518">
        <f>10430*1.05</f>
        <v>10951.5</v>
      </c>
      <c r="H108" s="519">
        <v>5286.2681768</v>
      </c>
      <c r="I108" s="573">
        <f>+I106</f>
        <v>5482.2318232</v>
      </c>
      <c r="J108" s="529">
        <f>+G108+H108+I108</f>
        <v>21720</v>
      </c>
      <c r="K108" s="530">
        <f t="shared" si="8"/>
        <v>26064</v>
      </c>
      <c r="L108" s="1"/>
      <c r="M108" s="1"/>
      <c r="N108" s="1"/>
      <c r="O108" s="1"/>
      <c r="P108" s="1"/>
    </row>
    <row r="109" spans="1:16" ht="78.75">
      <c r="A109" s="513" t="str">
        <f t="shared" si="9"/>
        <v>G .</v>
      </c>
      <c r="B109" s="514" t="s">
        <v>619</v>
      </c>
      <c r="C109" s="515" t="s">
        <v>843</v>
      </c>
      <c r="D109" s="527"/>
      <c r="E109" s="560" t="s">
        <v>1476</v>
      </c>
      <c r="F109" s="517" t="s">
        <v>602</v>
      </c>
      <c r="G109" s="518">
        <f>12850*1.05</f>
        <v>13492.5</v>
      </c>
      <c r="H109" s="519">
        <f>+H108*1.05</f>
        <v>5550.58158564</v>
      </c>
      <c r="I109" s="573">
        <f aca="true" t="shared" si="10" ref="I109:I115">+I108*1.1</f>
        <v>6030.455005520001</v>
      </c>
      <c r="J109" s="529">
        <f>+G109+H109+I109</f>
        <v>25073.536591160002</v>
      </c>
      <c r="K109" s="530">
        <f t="shared" si="8"/>
        <v>30088.243909392</v>
      </c>
      <c r="L109" s="1"/>
      <c r="M109" s="1"/>
      <c r="N109" s="1"/>
      <c r="O109" s="1"/>
      <c r="P109" s="1"/>
    </row>
    <row r="110" spans="1:16" ht="78.75">
      <c r="A110" s="513" t="str">
        <f>+A106</f>
        <v>G .</v>
      </c>
      <c r="B110" s="514" t="s">
        <v>622</v>
      </c>
      <c r="C110" s="515" t="s">
        <v>844</v>
      </c>
      <c r="D110" s="527"/>
      <c r="E110" s="560" t="s">
        <v>1477</v>
      </c>
      <c r="F110" s="517" t="s">
        <v>602</v>
      </c>
      <c r="G110" s="518">
        <f>14100*1.05</f>
        <v>14805</v>
      </c>
      <c r="H110" s="519">
        <f>+H109*1.05</f>
        <v>5828.110664922001</v>
      </c>
      <c r="I110" s="573">
        <f t="shared" si="10"/>
        <v>6633.500506072001</v>
      </c>
      <c r="J110" s="529">
        <f>+G110+H110+I110</f>
        <v>27266.611170994</v>
      </c>
      <c r="K110" s="530">
        <f t="shared" si="8"/>
        <v>32719.9334051928</v>
      </c>
      <c r="L110" s="1"/>
      <c r="M110" s="1"/>
      <c r="N110" s="1"/>
      <c r="O110" s="1"/>
      <c r="P110" s="1"/>
    </row>
    <row r="111" spans="1:16" ht="78.75">
      <c r="A111" s="513" t="str">
        <f t="shared" si="9"/>
        <v>G .</v>
      </c>
      <c r="B111" s="514" t="s">
        <v>625</v>
      </c>
      <c r="C111" s="515" t="s">
        <v>845</v>
      </c>
      <c r="D111" s="527"/>
      <c r="E111" s="560" t="s">
        <v>1478</v>
      </c>
      <c r="F111" s="517" t="s">
        <v>602</v>
      </c>
      <c r="G111" s="518">
        <f>17500*1.05</f>
        <v>18375</v>
      </c>
      <c r="H111" s="519">
        <f>+J111-(G111+I111)</f>
        <v>7705.649443320799</v>
      </c>
      <c r="I111" s="573">
        <f t="shared" si="10"/>
        <v>7296.850556679202</v>
      </c>
      <c r="J111" s="529">
        <v>33377.5</v>
      </c>
      <c r="K111" s="530">
        <f t="shared" si="8"/>
        <v>40053</v>
      </c>
      <c r="L111" s="1"/>
      <c r="M111" s="1"/>
      <c r="N111" s="1"/>
      <c r="O111" s="1"/>
      <c r="P111" s="1"/>
    </row>
    <row r="112" spans="1:16" ht="78.75">
      <c r="A112" s="513" t="str">
        <f t="shared" si="9"/>
        <v>G .</v>
      </c>
      <c r="B112" s="514" t="s">
        <v>628</v>
      </c>
      <c r="C112" s="515" t="s">
        <v>846</v>
      </c>
      <c r="D112" s="527"/>
      <c r="E112" s="560" t="s">
        <v>1479</v>
      </c>
      <c r="F112" s="517" t="s">
        <v>602</v>
      </c>
      <c r="G112" s="518">
        <f>19480*1.05</f>
        <v>20454</v>
      </c>
      <c r="H112" s="519">
        <f>+H111*1.05</f>
        <v>8090.931915486839</v>
      </c>
      <c r="I112" s="573">
        <f t="shared" si="10"/>
        <v>8026.535612347123</v>
      </c>
      <c r="J112" s="529">
        <v>36571.47</v>
      </c>
      <c r="K112" s="530">
        <f t="shared" si="8"/>
        <v>43885.764</v>
      </c>
      <c r="L112" s="1"/>
      <c r="M112" s="1"/>
      <c r="N112" s="1"/>
      <c r="O112" s="1"/>
      <c r="P112" s="1"/>
    </row>
    <row r="113" spans="1:16" ht="78.75">
      <c r="A113" s="513" t="str">
        <f t="shared" si="9"/>
        <v>G .</v>
      </c>
      <c r="B113" s="514" t="s">
        <v>630</v>
      </c>
      <c r="C113" s="515" t="s">
        <v>847</v>
      </c>
      <c r="D113" s="527"/>
      <c r="E113" s="578" t="s">
        <v>1480</v>
      </c>
      <c r="F113" s="517" t="s">
        <v>602</v>
      </c>
      <c r="G113" s="518">
        <f>28390+1.05</f>
        <v>28391.05</v>
      </c>
      <c r="H113" s="519">
        <f>+J113-(G113+I113)</f>
        <v>11590.760826418162</v>
      </c>
      <c r="I113" s="573">
        <f t="shared" si="10"/>
        <v>8829.189173581835</v>
      </c>
      <c r="J113" s="529">
        <v>48811</v>
      </c>
      <c r="K113" s="530">
        <f t="shared" si="8"/>
        <v>58573.2</v>
      </c>
      <c r="L113" s="1"/>
      <c r="M113" s="1"/>
      <c r="N113" s="1"/>
      <c r="O113" s="1"/>
      <c r="P113" s="1"/>
    </row>
    <row r="114" spans="1:16" ht="78.75">
      <c r="A114" s="513" t="str">
        <f t="shared" si="9"/>
        <v>G .</v>
      </c>
      <c r="B114" s="514" t="s">
        <v>633</v>
      </c>
      <c r="C114" s="515" t="s">
        <v>846</v>
      </c>
      <c r="D114" s="527"/>
      <c r="E114" s="560" t="s">
        <v>1481</v>
      </c>
      <c r="F114" s="517" t="s">
        <v>602</v>
      </c>
      <c r="G114" s="518">
        <f>33310*1.05</f>
        <v>34975.5</v>
      </c>
      <c r="H114" s="519">
        <f>+H113*1.05</f>
        <v>12170.29886773907</v>
      </c>
      <c r="I114" s="573">
        <f t="shared" si="10"/>
        <v>9712.108090940019</v>
      </c>
      <c r="J114" s="529">
        <f>+G114+H114+I114</f>
        <v>56857.90695867909</v>
      </c>
      <c r="K114" s="530">
        <f t="shared" si="8"/>
        <v>68229.4883504149</v>
      </c>
      <c r="L114" s="1"/>
      <c r="M114" s="1"/>
      <c r="N114" s="1"/>
      <c r="O114" s="1"/>
      <c r="P114" s="1"/>
    </row>
    <row r="115" spans="1:16" ht="78.75">
      <c r="A115" s="513" t="str">
        <f t="shared" si="9"/>
        <v>G .</v>
      </c>
      <c r="B115" s="514" t="s">
        <v>635</v>
      </c>
      <c r="C115" s="515" t="s">
        <v>847</v>
      </c>
      <c r="D115" s="527"/>
      <c r="E115" s="578" t="s">
        <v>1482</v>
      </c>
      <c r="F115" s="517" t="s">
        <v>602</v>
      </c>
      <c r="G115" s="518">
        <f>38550*1.05</f>
        <v>40477.5</v>
      </c>
      <c r="H115" s="519">
        <f>+H114*1.05</f>
        <v>12778.813811126023</v>
      </c>
      <c r="I115" s="573">
        <f t="shared" si="10"/>
        <v>10683.31890003402</v>
      </c>
      <c r="J115" s="529">
        <f>+G115+H115+I115</f>
        <v>63939.63271116004</v>
      </c>
      <c r="K115" s="530">
        <f t="shared" si="8"/>
        <v>76727.55925339204</v>
      </c>
      <c r="L115" s="1"/>
      <c r="M115" s="1"/>
      <c r="N115" s="1"/>
      <c r="O115" s="1"/>
      <c r="P115" s="1"/>
    </row>
    <row r="116" spans="1:16" ht="78.75">
      <c r="A116" s="513" t="str">
        <f t="shared" si="9"/>
        <v>G .</v>
      </c>
      <c r="B116" s="514" t="s">
        <v>679</v>
      </c>
      <c r="C116" s="515" t="s">
        <v>848</v>
      </c>
      <c r="D116" s="527"/>
      <c r="E116" s="578" t="s">
        <v>849</v>
      </c>
      <c r="F116" s="517" t="s">
        <v>602</v>
      </c>
      <c r="G116" s="518">
        <f>+G119*2</f>
        <v>666.6</v>
      </c>
      <c r="H116" s="519">
        <v>300</v>
      </c>
      <c r="I116" s="573">
        <f>0.76*560.78*2.6</f>
        <v>1108.10128</v>
      </c>
      <c r="J116" s="529">
        <v>2074.7</v>
      </c>
      <c r="K116" s="530">
        <f t="shared" si="8"/>
        <v>2489.64</v>
      </c>
      <c r="L116" s="1"/>
      <c r="M116" s="1"/>
      <c r="N116" s="1"/>
      <c r="O116" s="1"/>
      <c r="P116" s="1"/>
    </row>
    <row r="117" spans="1:16" ht="78.75">
      <c r="A117" s="513" t="str">
        <f t="shared" si="9"/>
        <v>G .</v>
      </c>
      <c r="B117" s="514" t="s">
        <v>683</v>
      </c>
      <c r="C117" s="515" t="s">
        <v>850</v>
      </c>
      <c r="D117" s="527"/>
      <c r="E117" s="578" t="s">
        <v>851</v>
      </c>
      <c r="F117" s="517" t="s">
        <v>602</v>
      </c>
      <c r="G117" s="518">
        <f>+G119*3</f>
        <v>999.9000000000001</v>
      </c>
      <c r="H117" s="519">
        <v>300</v>
      </c>
      <c r="I117" s="573">
        <f>0.79*560.78*2.6</f>
        <v>1151.84212</v>
      </c>
      <c r="J117" s="529">
        <v>2451.74</v>
      </c>
      <c r="K117" s="530">
        <f t="shared" si="8"/>
        <v>2942.0879999999997</v>
      </c>
      <c r="L117" s="1"/>
      <c r="M117" s="1"/>
      <c r="N117" s="1"/>
      <c r="O117" s="1"/>
      <c r="P117" s="1"/>
    </row>
    <row r="118" spans="1:16" ht="78.75">
      <c r="A118" s="513" t="str">
        <f t="shared" si="9"/>
        <v>G .</v>
      </c>
      <c r="B118" s="514" t="s">
        <v>687</v>
      </c>
      <c r="C118" s="515" t="s">
        <v>852</v>
      </c>
      <c r="D118" s="527"/>
      <c r="E118" s="578" t="s">
        <v>853</v>
      </c>
      <c r="F118" s="517" t="s">
        <v>602</v>
      </c>
      <c r="G118" s="518">
        <f>+G119*3.5</f>
        <v>1166.55</v>
      </c>
      <c r="H118" s="519">
        <v>300</v>
      </c>
      <c r="I118" s="573">
        <f>0.82*560.78*2.6</f>
        <v>1195.58296</v>
      </c>
      <c r="J118" s="529">
        <v>2662.13</v>
      </c>
      <c r="K118" s="530">
        <f t="shared" si="8"/>
        <v>3194.556</v>
      </c>
      <c r="L118" s="1"/>
      <c r="M118" s="1"/>
      <c r="N118" s="1"/>
      <c r="O118" s="1"/>
      <c r="P118" s="1"/>
    </row>
    <row r="119" spans="1:16" ht="78.75">
      <c r="A119" s="513" t="str">
        <f t="shared" si="9"/>
        <v>G .</v>
      </c>
      <c r="B119" s="514" t="s">
        <v>691</v>
      </c>
      <c r="C119" s="515" t="s">
        <v>854</v>
      </c>
      <c r="D119" s="527"/>
      <c r="E119" s="578" t="s">
        <v>855</v>
      </c>
      <c r="F119" s="517" t="s">
        <v>602</v>
      </c>
      <c r="G119" s="518">
        <f>303*1.1</f>
        <v>333.3</v>
      </c>
      <c r="H119" s="519">
        <v>300</v>
      </c>
      <c r="I119" s="573">
        <f>0.0769*330.46*2.6</f>
        <v>66.0721724</v>
      </c>
      <c r="J119" s="529">
        <v>699.37</v>
      </c>
      <c r="K119" s="530">
        <f t="shared" si="8"/>
        <v>839.244</v>
      </c>
      <c r="L119" s="1"/>
      <c r="M119" s="1"/>
      <c r="N119" s="1"/>
      <c r="O119" s="1"/>
      <c r="P119" s="1"/>
    </row>
    <row r="120" spans="1:16" ht="78.75">
      <c r="A120" s="513" t="str">
        <f t="shared" si="9"/>
        <v>G .</v>
      </c>
      <c r="B120" s="514" t="s">
        <v>695</v>
      </c>
      <c r="C120" s="515" t="s">
        <v>856</v>
      </c>
      <c r="D120" s="527"/>
      <c r="E120" s="578" t="s">
        <v>857</v>
      </c>
      <c r="F120" s="517" t="s">
        <v>602</v>
      </c>
      <c r="G120" s="518">
        <f>500*1.1</f>
        <v>550</v>
      </c>
      <c r="H120" s="519">
        <v>300</v>
      </c>
      <c r="I120" s="573">
        <f>0.185*330.46*2.6</f>
        <v>158.95126</v>
      </c>
      <c r="J120" s="529">
        <v>1008.95</v>
      </c>
      <c r="K120" s="530">
        <f t="shared" si="8"/>
        <v>1210.74</v>
      </c>
      <c r="L120" s="1"/>
      <c r="M120" s="1"/>
      <c r="N120" s="1"/>
      <c r="O120" s="1"/>
      <c r="P120" s="1"/>
    </row>
    <row r="121" spans="1:16" ht="78.75">
      <c r="A121" s="513" t="str">
        <f t="shared" si="9"/>
        <v>G .</v>
      </c>
      <c r="B121" s="514" t="s">
        <v>699</v>
      </c>
      <c r="C121" s="515" t="s">
        <v>858</v>
      </c>
      <c r="D121" s="527"/>
      <c r="E121" s="578" t="s">
        <v>859</v>
      </c>
      <c r="F121" s="517" t="s">
        <v>602</v>
      </c>
      <c r="G121" s="518">
        <f>785*1.1</f>
        <v>863.5000000000001</v>
      </c>
      <c r="H121" s="519">
        <v>300</v>
      </c>
      <c r="I121" s="573">
        <f>0.276*330.46*2.6</f>
        <v>237.138096</v>
      </c>
      <c r="J121" s="529">
        <v>1400.64</v>
      </c>
      <c r="K121" s="530">
        <f t="shared" si="8"/>
        <v>1680.768</v>
      </c>
      <c r="L121" s="1"/>
      <c r="M121" s="1"/>
      <c r="N121" s="1"/>
      <c r="O121" s="1"/>
      <c r="P121" s="1"/>
    </row>
    <row r="122" spans="1:16" ht="78.75">
      <c r="A122" s="513" t="str">
        <f t="shared" si="9"/>
        <v>G .</v>
      </c>
      <c r="B122" s="514" t="s">
        <v>703</v>
      </c>
      <c r="C122" s="515" t="s">
        <v>860</v>
      </c>
      <c r="D122" s="527"/>
      <c r="E122" s="578" t="s">
        <v>861</v>
      </c>
      <c r="F122" s="517" t="s">
        <v>1468</v>
      </c>
      <c r="G122" s="518">
        <f>180*1.05*5</f>
        <v>945</v>
      </c>
      <c r="H122" s="519">
        <v>217.66528000000017</v>
      </c>
      <c r="I122" s="573">
        <f>2.32*330.46*2.6</f>
        <v>1993.3347199999996</v>
      </c>
      <c r="J122" s="529">
        <v>3156</v>
      </c>
      <c r="K122" s="530">
        <f t="shared" si="8"/>
        <v>3787.2</v>
      </c>
      <c r="L122" s="1"/>
      <c r="M122" s="1"/>
      <c r="N122" s="1"/>
      <c r="O122" s="1"/>
      <c r="P122" s="1"/>
    </row>
    <row r="123" spans="1:16" ht="105">
      <c r="A123" s="513" t="str">
        <f t="shared" si="9"/>
        <v>G .</v>
      </c>
      <c r="B123" s="514" t="s">
        <v>707</v>
      </c>
      <c r="C123" s="515" t="s">
        <v>862</v>
      </c>
      <c r="D123" s="527"/>
      <c r="E123" s="578" t="s">
        <v>863</v>
      </c>
      <c r="F123" s="517" t="s">
        <v>1468</v>
      </c>
      <c r="G123" s="518">
        <f>180*1.05*2.5</f>
        <v>472.5</v>
      </c>
      <c r="H123" s="519">
        <v>217.66528000000017</v>
      </c>
      <c r="I123" s="573">
        <f>1.644*330.46*2.6</f>
        <v>1412.518224</v>
      </c>
      <c r="J123" s="529">
        <v>2102.68</v>
      </c>
      <c r="K123" s="530">
        <f t="shared" si="8"/>
        <v>2523.216</v>
      </c>
      <c r="L123" s="1"/>
      <c r="M123" s="1"/>
      <c r="N123" s="1"/>
      <c r="O123" s="1"/>
      <c r="P123" s="1"/>
    </row>
    <row r="124" spans="1:16" ht="78.75">
      <c r="A124" s="513" t="str">
        <f t="shared" si="9"/>
        <v>G .</v>
      </c>
      <c r="B124" s="514" t="s">
        <v>711</v>
      </c>
      <c r="C124" s="526" t="s">
        <v>864</v>
      </c>
      <c r="D124" s="527"/>
      <c r="E124" s="578" t="s">
        <v>865</v>
      </c>
      <c r="F124" s="517" t="s">
        <v>602</v>
      </c>
      <c r="G124" s="518">
        <f>((270*1.05)*2.5)+300</f>
        <v>1008.75</v>
      </c>
      <c r="H124" s="519">
        <v>294.0647120000001</v>
      </c>
      <c r="I124" s="573">
        <f aca="true" t="shared" si="11" ref="I124:I129">0.578*330.46*2.6</f>
        <v>496.6152879999999</v>
      </c>
      <c r="J124" s="529">
        <v>1799.43</v>
      </c>
      <c r="K124" s="530">
        <f t="shared" si="8"/>
        <v>2159.316</v>
      </c>
      <c r="L124" s="1"/>
      <c r="M124" s="1"/>
      <c r="N124" s="1"/>
      <c r="O124" s="1"/>
      <c r="P124" s="1"/>
    </row>
    <row r="125" spans="1:16" ht="78.75">
      <c r="A125" s="513" t="str">
        <f t="shared" si="9"/>
        <v>G .</v>
      </c>
      <c r="B125" s="514" t="s">
        <v>715</v>
      </c>
      <c r="C125" s="526" t="s">
        <v>866</v>
      </c>
      <c r="D125" s="527"/>
      <c r="E125" s="578" t="s">
        <v>867</v>
      </c>
      <c r="F125" s="517" t="s">
        <v>602</v>
      </c>
      <c r="G125" s="518">
        <f>((510*1.05)*1.2)+300</f>
        <v>942.6</v>
      </c>
      <c r="H125" s="519">
        <v>294.0647120000001</v>
      </c>
      <c r="I125" s="573">
        <f t="shared" si="11"/>
        <v>496.6152879999999</v>
      </c>
      <c r="J125" s="529">
        <v>1733.2800000000002</v>
      </c>
      <c r="K125" s="530">
        <f t="shared" si="8"/>
        <v>2079.936</v>
      </c>
      <c r="L125" s="1"/>
      <c r="M125" s="1"/>
      <c r="N125" s="1"/>
      <c r="O125" s="1"/>
      <c r="P125" s="1"/>
    </row>
    <row r="126" spans="1:16" ht="78.75">
      <c r="A126" s="513" t="str">
        <f t="shared" si="9"/>
        <v>G .</v>
      </c>
      <c r="B126" s="514" t="s">
        <v>719</v>
      </c>
      <c r="C126" s="526" t="s">
        <v>868</v>
      </c>
      <c r="D126" s="527"/>
      <c r="E126" s="578" t="s">
        <v>869</v>
      </c>
      <c r="F126" s="517" t="s">
        <v>602</v>
      </c>
      <c r="G126" s="518">
        <f>((280*1.05)*2.5)+300</f>
        <v>1035</v>
      </c>
      <c r="H126" s="519">
        <v>294.0647120000001</v>
      </c>
      <c r="I126" s="573">
        <f t="shared" si="11"/>
        <v>496.6152879999999</v>
      </c>
      <c r="J126" s="529">
        <v>1825.68</v>
      </c>
      <c r="K126" s="530">
        <f t="shared" si="8"/>
        <v>2190.816</v>
      </c>
      <c r="L126" s="1"/>
      <c r="M126" s="1"/>
      <c r="N126" s="1"/>
      <c r="O126" s="1"/>
      <c r="P126" s="1"/>
    </row>
    <row r="127" spans="1:16" ht="78.75">
      <c r="A127" s="513" t="str">
        <f t="shared" si="9"/>
        <v>G .</v>
      </c>
      <c r="B127" s="514" t="s">
        <v>723</v>
      </c>
      <c r="C127" s="526" t="s">
        <v>870</v>
      </c>
      <c r="D127" s="527"/>
      <c r="E127" s="578" t="s">
        <v>871</v>
      </c>
      <c r="F127" s="517" t="s">
        <v>602</v>
      </c>
      <c r="G127" s="518">
        <f>((530*1.05)*1.2)+300</f>
        <v>967.8</v>
      </c>
      <c r="H127" s="519">
        <v>294.0647120000001</v>
      </c>
      <c r="I127" s="573">
        <f t="shared" si="11"/>
        <v>496.6152879999999</v>
      </c>
      <c r="J127" s="529">
        <v>1758.48</v>
      </c>
      <c r="K127" s="530">
        <f t="shared" si="8"/>
        <v>2110.176</v>
      </c>
      <c r="L127" s="1"/>
      <c r="M127" s="1"/>
      <c r="N127" s="1"/>
      <c r="O127" s="1"/>
      <c r="P127" s="1"/>
    </row>
    <row r="128" spans="1:16" ht="78.75">
      <c r="A128" s="513" t="str">
        <f t="shared" si="9"/>
        <v>G .</v>
      </c>
      <c r="B128" s="514" t="s">
        <v>727</v>
      </c>
      <c r="C128" s="526" t="s">
        <v>872</v>
      </c>
      <c r="D128" s="527"/>
      <c r="E128" s="578" t="s">
        <v>873</v>
      </c>
      <c r="F128" s="517" t="s">
        <v>611</v>
      </c>
      <c r="G128" s="518">
        <f>((170*1.05)*2.5)+300</f>
        <v>746.25</v>
      </c>
      <c r="H128" s="519">
        <v>294.0647120000001</v>
      </c>
      <c r="I128" s="573">
        <f t="shared" si="11"/>
        <v>496.6152879999999</v>
      </c>
      <c r="J128" s="529">
        <v>1536.93</v>
      </c>
      <c r="K128" s="530">
        <f t="shared" si="8"/>
        <v>1844.316</v>
      </c>
      <c r="L128" s="1"/>
      <c r="M128" s="1"/>
      <c r="N128" s="1"/>
      <c r="O128" s="1"/>
      <c r="P128" s="1"/>
    </row>
    <row r="129" spans="1:16" ht="78.75">
      <c r="A129" s="513" t="str">
        <f t="shared" si="9"/>
        <v>G .</v>
      </c>
      <c r="B129" s="514" t="s">
        <v>731</v>
      </c>
      <c r="C129" s="526" t="s">
        <v>874</v>
      </c>
      <c r="D129" s="527"/>
      <c r="E129" s="578" t="s">
        <v>875</v>
      </c>
      <c r="F129" s="517" t="s">
        <v>611</v>
      </c>
      <c r="G129" s="518">
        <f>(290*1.05*1.2)+300</f>
        <v>665.4</v>
      </c>
      <c r="H129" s="519">
        <v>294.0647120000001</v>
      </c>
      <c r="I129" s="573">
        <f t="shared" si="11"/>
        <v>496.6152879999999</v>
      </c>
      <c r="J129" s="529">
        <v>1456.08</v>
      </c>
      <c r="K129" s="530">
        <f t="shared" si="8"/>
        <v>1747.2959999999998</v>
      </c>
      <c r="L129" s="1"/>
      <c r="M129" s="1"/>
      <c r="N129" s="1"/>
      <c r="O129" s="1"/>
      <c r="P129" s="1"/>
    </row>
    <row r="130" spans="1:16" ht="78.75">
      <c r="A130" s="513" t="str">
        <f t="shared" si="9"/>
        <v>G .</v>
      </c>
      <c r="B130" s="514" t="s">
        <v>735</v>
      </c>
      <c r="C130" s="526" t="s">
        <v>876</v>
      </c>
      <c r="D130" s="527"/>
      <c r="E130" s="578" t="s">
        <v>877</v>
      </c>
      <c r="F130" s="517" t="s">
        <v>602</v>
      </c>
      <c r="G130" s="518">
        <f>440*1.05*2.5+300</f>
        <v>1455</v>
      </c>
      <c r="H130" s="519">
        <f>+G130*0.15</f>
        <v>218.25</v>
      </c>
      <c r="I130" s="573">
        <f>0.82*560.78*2.6</f>
        <v>1195.58296</v>
      </c>
      <c r="J130" s="529">
        <v>2868.83</v>
      </c>
      <c r="K130" s="530">
        <f t="shared" si="8"/>
        <v>3442.596</v>
      </c>
      <c r="L130" s="1"/>
      <c r="M130" s="1"/>
      <c r="N130" s="1"/>
      <c r="O130" s="1"/>
      <c r="P130" s="1"/>
    </row>
    <row r="131" spans="1:16" ht="78.75">
      <c r="A131" s="513" t="str">
        <f t="shared" si="9"/>
        <v>G .</v>
      </c>
      <c r="B131" s="514" t="s">
        <v>739</v>
      </c>
      <c r="C131" s="515" t="s">
        <v>860</v>
      </c>
      <c r="D131" s="527"/>
      <c r="E131" s="578" t="s">
        <v>878</v>
      </c>
      <c r="F131" s="517" t="s">
        <v>602</v>
      </c>
      <c r="G131" s="518">
        <f>345*1.05*2.5+300</f>
        <v>1205.625</v>
      </c>
      <c r="H131" s="519">
        <f>+G131*0.15</f>
        <v>180.84375</v>
      </c>
      <c r="I131" s="573">
        <f>2.32*330.46*2.6</f>
        <v>1993.3347199999996</v>
      </c>
      <c r="J131" s="529">
        <v>3379.8</v>
      </c>
      <c r="K131" s="530">
        <f t="shared" si="8"/>
        <v>4055.76</v>
      </c>
      <c r="L131" s="1"/>
      <c r="M131" s="1"/>
      <c r="N131" s="1"/>
      <c r="O131" s="1"/>
      <c r="P131" s="1"/>
    </row>
    <row r="132" spans="1:16" ht="105">
      <c r="A132" s="513" t="str">
        <f t="shared" si="9"/>
        <v>G .</v>
      </c>
      <c r="B132" s="514" t="s">
        <v>743</v>
      </c>
      <c r="C132" s="526"/>
      <c r="D132" s="527"/>
      <c r="E132" s="578" t="s">
        <v>879</v>
      </c>
      <c r="F132" s="517" t="s">
        <v>611</v>
      </c>
      <c r="G132" s="518">
        <f>510*1.05</f>
        <v>535.5</v>
      </c>
      <c r="H132" s="519">
        <f>+G132*0.15</f>
        <v>80.325</v>
      </c>
      <c r="I132" s="573">
        <v>1200</v>
      </c>
      <c r="J132" s="529">
        <v>1815.83</v>
      </c>
      <c r="K132" s="530">
        <f t="shared" si="8"/>
        <v>2178.9959999999996</v>
      </c>
      <c r="L132" s="1"/>
      <c r="M132" s="1"/>
      <c r="N132" s="1"/>
      <c r="O132" s="1"/>
      <c r="P132" s="1"/>
    </row>
    <row r="133" spans="1:16" ht="105">
      <c r="A133" s="513" t="str">
        <f t="shared" si="9"/>
        <v>G .</v>
      </c>
      <c r="B133" s="514" t="s">
        <v>746</v>
      </c>
      <c r="C133" s="526"/>
      <c r="D133" s="527"/>
      <c r="E133" s="578" t="s">
        <v>880</v>
      </c>
      <c r="F133" s="517" t="s">
        <v>611</v>
      </c>
      <c r="G133" s="518">
        <f>1250*1.05</f>
        <v>1312.5</v>
      </c>
      <c r="H133" s="519">
        <f>+G133*0.15</f>
        <v>196.875</v>
      </c>
      <c r="I133" s="573">
        <f>+G133*1.5</f>
        <v>1968.75</v>
      </c>
      <c r="J133" s="529">
        <v>3478.13</v>
      </c>
      <c r="K133" s="530">
        <f t="shared" si="8"/>
        <v>4173.756</v>
      </c>
      <c r="L133" s="1"/>
      <c r="M133" s="1"/>
      <c r="N133" s="1"/>
      <c r="O133" s="1"/>
      <c r="P133" s="1"/>
    </row>
    <row r="134" spans="1:16" ht="105">
      <c r="A134" s="513" t="str">
        <f t="shared" si="9"/>
        <v>G .</v>
      </c>
      <c r="B134" s="514" t="s">
        <v>750</v>
      </c>
      <c r="C134" s="526"/>
      <c r="D134" s="527"/>
      <c r="E134" s="578" t="s">
        <v>881</v>
      </c>
      <c r="F134" s="517" t="s">
        <v>611</v>
      </c>
      <c r="G134" s="518">
        <f>1420*1.05</f>
        <v>1491</v>
      </c>
      <c r="H134" s="519">
        <f>+G134*0.15</f>
        <v>223.65</v>
      </c>
      <c r="I134" s="573">
        <f>+G134*1.5</f>
        <v>2236.5</v>
      </c>
      <c r="J134" s="529">
        <v>3951.15</v>
      </c>
      <c r="K134" s="530">
        <f t="shared" si="8"/>
        <v>4741.38</v>
      </c>
      <c r="L134" s="1"/>
      <c r="M134" s="1"/>
      <c r="N134" s="1"/>
      <c r="O134" s="1"/>
      <c r="P134" s="1"/>
    </row>
    <row r="135" spans="1:16" ht="78.75">
      <c r="A135" s="513" t="str">
        <f t="shared" si="9"/>
        <v>G .</v>
      </c>
      <c r="B135" s="514" t="s">
        <v>754</v>
      </c>
      <c r="C135" s="526"/>
      <c r="D135" s="527"/>
      <c r="E135" s="578" t="s">
        <v>882</v>
      </c>
      <c r="F135" s="517" t="s">
        <v>611</v>
      </c>
      <c r="G135" s="518">
        <v>70000</v>
      </c>
      <c r="H135" s="519">
        <v>10000</v>
      </c>
      <c r="I135" s="573">
        <v>40000</v>
      </c>
      <c r="J135" s="529">
        <v>120000</v>
      </c>
      <c r="K135" s="530">
        <f t="shared" si="8"/>
        <v>144000</v>
      </c>
      <c r="L135" s="1"/>
      <c r="M135" s="1"/>
      <c r="N135" s="1"/>
      <c r="O135" s="1"/>
      <c r="P135" s="1"/>
    </row>
    <row r="136" spans="1:16" ht="78.75">
      <c r="A136" s="513" t="str">
        <f t="shared" si="9"/>
        <v>G .</v>
      </c>
      <c r="B136" s="514" t="s">
        <v>758</v>
      </c>
      <c r="C136" s="526"/>
      <c r="D136" s="527"/>
      <c r="E136" s="578" t="s">
        <v>883</v>
      </c>
      <c r="F136" s="517" t="s">
        <v>611</v>
      </c>
      <c r="G136" s="518">
        <v>130000</v>
      </c>
      <c r="H136" s="519">
        <v>10000</v>
      </c>
      <c r="I136" s="573">
        <v>60000</v>
      </c>
      <c r="J136" s="529">
        <v>200000</v>
      </c>
      <c r="K136" s="530">
        <f t="shared" si="8"/>
        <v>240000</v>
      </c>
      <c r="L136" s="1"/>
      <c r="M136" s="1"/>
      <c r="N136" s="1"/>
      <c r="O136" s="1"/>
      <c r="P136" s="1"/>
    </row>
    <row r="137" spans="1:16" ht="78.75">
      <c r="A137" s="513" t="str">
        <f t="shared" si="9"/>
        <v>G .</v>
      </c>
      <c r="B137" s="514" t="s">
        <v>762</v>
      </c>
      <c r="C137" s="526"/>
      <c r="D137" s="527"/>
      <c r="E137" s="578" t="s">
        <v>884</v>
      </c>
      <c r="F137" s="517" t="s">
        <v>611</v>
      </c>
      <c r="G137" s="518">
        <v>180000</v>
      </c>
      <c r="H137" s="519">
        <v>10000</v>
      </c>
      <c r="I137" s="573">
        <v>60000</v>
      </c>
      <c r="J137" s="529">
        <v>250000</v>
      </c>
      <c r="K137" s="530">
        <f t="shared" si="8"/>
        <v>300000</v>
      </c>
      <c r="L137" s="1"/>
      <c r="M137" s="1"/>
      <c r="N137" s="1"/>
      <c r="O137" s="1"/>
      <c r="P137" s="1"/>
    </row>
    <row r="138" spans="1:16" ht="78.75">
      <c r="A138" s="513" t="str">
        <f t="shared" si="9"/>
        <v>G .</v>
      </c>
      <c r="B138" s="514" t="s">
        <v>766</v>
      </c>
      <c r="C138" s="526" t="s">
        <v>885</v>
      </c>
      <c r="D138" s="534"/>
      <c r="E138" s="578" t="s">
        <v>886</v>
      </c>
      <c r="F138" s="517" t="s">
        <v>611</v>
      </c>
      <c r="G138" s="567">
        <v>7500</v>
      </c>
      <c r="H138" s="519">
        <v>1200</v>
      </c>
      <c r="I138" s="561">
        <f>1.24*330.46*2.6</f>
        <v>1065.40304</v>
      </c>
      <c r="J138" s="539">
        <v>9765.4</v>
      </c>
      <c r="K138" s="540">
        <f t="shared" si="8"/>
        <v>11718.48</v>
      </c>
      <c r="L138" s="1"/>
      <c r="M138" s="1"/>
      <c r="N138" s="1"/>
      <c r="O138" s="1"/>
      <c r="P138" s="1"/>
    </row>
    <row r="139" spans="1:16" ht="79.5" thickBot="1">
      <c r="A139" s="582" t="str">
        <f t="shared" si="9"/>
        <v>G .</v>
      </c>
      <c r="B139" s="583" t="s">
        <v>770</v>
      </c>
      <c r="C139" s="584" t="s">
        <v>885</v>
      </c>
      <c r="D139" s="585"/>
      <c r="E139" s="586" t="s">
        <v>887</v>
      </c>
      <c r="F139" s="587" t="s">
        <v>611</v>
      </c>
      <c r="G139" s="588">
        <v>8700</v>
      </c>
      <c r="H139" s="589">
        <v>1500</v>
      </c>
      <c r="I139" s="590">
        <f>2.178*330.46*2.6</f>
        <v>1871.3288879999998</v>
      </c>
      <c r="J139" s="591">
        <v>12071.33</v>
      </c>
      <c r="K139" s="592">
        <f t="shared" si="8"/>
        <v>14485.596</v>
      </c>
      <c r="L139" s="1"/>
      <c r="M139" s="1"/>
      <c r="N139" s="1"/>
      <c r="O139" s="1"/>
      <c r="P139" s="1"/>
    </row>
    <row r="140" spans="1:16" ht="79.5" thickTop="1">
      <c r="A140" s="593" t="str">
        <f t="shared" si="9"/>
        <v>G .</v>
      </c>
      <c r="B140" s="594" t="s">
        <v>774</v>
      </c>
      <c r="C140" s="595" t="s">
        <v>885</v>
      </c>
      <c r="D140" s="596"/>
      <c r="E140" s="597" t="s">
        <v>888</v>
      </c>
      <c r="F140" s="598" t="s">
        <v>611</v>
      </c>
      <c r="G140" s="599">
        <v>10000</v>
      </c>
      <c r="H140" s="600">
        <v>1600</v>
      </c>
      <c r="I140" s="601">
        <f>3.54*330.64*2.6</f>
        <v>3043.21056</v>
      </c>
      <c r="J140" s="602">
        <v>14643.21</v>
      </c>
      <c r="K140" s="603">
        <f t="shared" si="8"/>
        <v>17571.852</v>
      </c>
      <c r="L140" s="1"/>
      <c r="M140" s="1"/>
      <c r="N140" s="1"/>
      <c r="O140" s="1"/>
      <c r="P140" s="1"/>
    </row>
    <row r="141" spans="1:16" ht="105">
      <c r="A141" s="513" t="str">
        <f t="shared" si="9"/>
        <v>G .</v>
      </c>
      <c r="B141" s="514" t="s">
        <v>778</v>
      </c>
      <c r="C141" s="526" t="s">
        <v>889</v>
      </c>
      <c r="D141" s="534"/>
      <c r="E141" s="578" t="s">
        <v>890</v>
      </c>
      <c r="F141" s="517" t="s">
        <v>611</v>
      </c>
      <c r="G141" s="567">
        <f>1820*1.05</f>
        <v>1911</v>
      </c>
      <c r="H141" s="568">
        <f>+G141*0.1</f>
        <v>191.10000000000002</v>
      </c>
      <c r="I141" s="561">
        <f>+G141*0.35</f>
        <v>668.8499999999999</v>
      </c>
      <c r="J141" s="539">
        <v>2770.95</v>
      </c>
      <c r="K141" s="540">
        <f t="shared" si="8"/>
        <v>3325.14</v>
      </c>
      <c r="L141" s="1"/>
      <c r="M141" s="1"/>
      <c r="N141" s="1"/>
      <c r="O141" s="1"/>
      <c r="P141" s="1"/>
    </row>
    <row r="142" spans="1:16" ht="105">
      <c r="A142" s="513" t="str">
        <f t="shared" si="9"/>
        <v>G .</v>
      </c>
      <c r="B142" s="514" t="s">
        <v>782</v>
      </c>
      <c r="C142" s="526" t="s">
        <v>889</v>
      </c>
      <c r="D142" s="534"/>
      <c r="E142" s="578" t="s">
        <v>891</v>
      </c>
      <c r="F142" s="517" t="s">
        <v>611</v>
      </c>
      <c r="G142" s="567">
        <f>3100*1.05</f>
        <v>3255</v>
      </c>
      <c r="H142" s="568">
        <f aca="true" t="shared" si="12" ref="H142:H149">+G142*0.1</f>
        <v>325.5</v>
      </c>
      <c r="I142" s="561">
        <f>+G142*0.35</f>
        <v>1139.25</v>
      </c>
      <c r="J142" s="539">
        <v>4719.75</v>
      </c>
      <c r="K142" s="540">
        <f t="shared" si="8"/>
        <v>5663.7</v>
      </c>
      <c r="L142" s="1"/>
      <c r="M142" s="1"/>
      <c r="N142" s="1"/>
      <c r="O142" s="1"/>
      <c r="P142" s="1"/>
    </row>
    <row r="143" spans="1:16" ht="105">
      <c r="A143" s="513" t="str">
        <f t="shared" si="9"/>
        <v>G .</v>
      </c>
      <c r="B143" s="514" t="s">
        <v>784</v>
      </c>
      <c r="C143" s="526" t="s">
        <v>889</v>
      </c>
      <c r="D143" s="534"/>
      <c r="E143" s="578" t="s">
        <v>892</v>
      </c>
      <c r="F143" s="517" t="s">
        <v>611</v>
      </c>
      <c r="G143" s="567">
        <f>5730*1.05</f>
        <v>6016.5</v>
      </c>
      <c r="H143" s="568">
        <f t="shared" si="12"/>
        <v>601.65</v>
      </c>
      <c r="I143" s="561">
        <f>+G143*0.35</f>
        <v>2105.775</v>
      </c>
      <c r="J143" s="539">
        <v>8723.93</v>
      </c>
      <c r="K143" s="540">
        <f t="shared" si="8"/>
        <v>10468.716</v>
      </c>
      <c r="L143" s="1"/>
      <c r="M143" s="1"/>
      <c r="N143" s="1"/>
      <c r="O143" s="1"/>
      <c r="P143" s="1"/>
    </row>
    <row r="144" spans="1:16" ht="105">
      <c r="A144" s="513" t="str">
        <f t="shared" si="9"/>
        <v>G .</v>
      </c>
      <c r="B144" s="514" t="s">
        <v>893</v>
      </c>
      <c r="C144" s="526" t="s">
        <v>889</v>
      </c>
      <c r="D144" s="534"/>
      <c r="E144" s="578" t="s">
        <v>894</v>
      </c>
      <c r="F144" s="517" t="s">
        <v>611</v>
      </c>
      <c r="G144" s="567">
        <f>6400*1.05</f>
        <v>6720</v>
      </c>
      <c r="H144" s="568">
        <f t="shared" si="12"/>
        <v>672</v>
      </c>
      <c r="I144" s="561">
        <f>+G144*1.5</f>
        <v>10080</v>
      </c>
      <c r="J144" s="539">
        <v>17472</v>
      </c>
      <c r="K144" s="540">
        <f t="shared" si="8"/>
        <v>20966.399999999998</v>
      </c>
      <c r="L144" s="1"/>
      <c r="M144" s="1"/>
      <c r="N144" s="1"/>
      <c r="O144" s="1"/>
      <c r="P144" s="1"/>
    </row>
    <row r="145" spans="1:16" ht="105">
      <c r="A145" s="513" t="str">
        <f t="shared" si="9"/>
        <v>G .</v>
      </c>
      <c r="B145" s="514" t="s">
        <v>895</v>
      </c>
      <c r="C145" s="526" t="s">
        <v>889</v>
      </c>
      <c r="D145" s="534"/>
      <c r="E145" s="578" t="s">
        <v>896</v>
      </c>
      <c r="F145" s="517" t="s">
        <v>611</v>
      </c>
      <c r="G145" s="567">
        <f>7400*1.05</f>
        <v>7770</v>
      </c>
      <c r="H145" s="568">
        <f t="shared" si="12"/>
        <v>777</v>
      </c>
      <c r="I145" s="561">
        <f>+G145*1.5</f>
        <v>11655</v>
      </c>
      <c r="J145" s="539">
        <v>20202</v>
      </c>
      <c r="K145" s="540">
        <f t="shared" si="8"/>
        <v>24242.399999999998</v>
      </c>
      <c r="L145" s="1"/>
      <c r="M145" s="1"/>
      <c r="N145" s="1"/>
      <c r="O145" s="1"/>
      <c r="P145" s="1"/>
    </row>
    <row r="146" spans="1:16" ht="78.75">
      <c r="A146" s="513" t="str">
        <f t="shared" si="9"/>
        <v>G .</v>
      </c>
      <c r="B146" s="514" t="s">
        <v>897</v>
      </c>
      <c r="C146" s="526" t="s">
        <v>889</v>
      </c>
      <c r="D146" s="534"/>
      <c r="E146" s="578" t="s">
        <v>898</v>
      </c>
      <c r="F146" s="517" t="s">
        <v>611</v>
      </c>
      <c r="G146" s="567">
        <f>3745*1.05</f>
        <v>3932.25</v>
      </c>
      <c r="H146" s="568">
        <f t="shared" si="12"/>
        <v>393.225</v>
      </c>
      <c r="I146" s="561">
        <f>+G146*0.3</f>
        <v>1179.675</v>
      </c>
      <c r="J146" s="539">
        <v>5505.150000000001</v>
      </c>
      <c r="K146" s="540">
        <f t="shared" si="8"/>
        <v>6606.18</v>
      </c>
      <c r="L146" s="1"/>
      <c r="M146" s="1"/>
      <c r="N146" s="1"/>
      <c r="O146" s="1"/>
      <c r="P146" s="1"/>
    </row>
    <row r="147" spans="1:16" ht="105">
      <c r="A147" s="513" t="str">
        <f t="shared" si="9"/>
        <v>G .</v>
      </c>
      <c r="B147" s="514" t="s">
        <v>899</v>
      </c>
      <c r="C147" s="526" t="s">
        <v>889</v>
      </c>
      <c r="D147" s="534"/>
      <c r="E147" s="578" t="s">
        <v>900</v>
      </c>
      <c r="F147" s="517" t="s">
        <v>611</v>
      </c>
      <c r="G147" s="567">
        <f>4880*1.05</f>
        <v>5124</v>
      </c>
      <c r="H147" s="568">
        <f t="shared" si="12"/>
        <v>512.4</v>
      </c>
      <c r="I147" s="561">
        <f>+G147*0.3</f>
        <v>1537.2</v>
      </c>
      <c r="J147" s="539">
        <v>7173.599999999999</v>
      </c>
      <c r="K147" s="540">
        <f t="shared" si="8"/>
        <v>8608.32</v>
      </c>
      <c r="L147" s="1"/>
      <c r="M147" s="1"/>
      <c r="N147" s="1"/>
      <c r="O147" s="1"/>
      <c r="P147" s="1"/>
    </row>
    <row r="148" spans="1:16" ht="105">
      <c r="A148" s="513" t="str">
        <f t="shared" si="9"/>
        <v>G .</v>
      </c>
      <c r="B148" s="514" t="s">
        <v>901</v>
      </c>
      <c r="C148" s="533"/>
      <c r="D148" s="534"/>
      <c r="E148" s="578" t="s">
        <v>902</v>
      </c>
      <c r="F148" s="517" t="s">
        <v>611</v>
      </c>
      <c r="G148" s="567">
        <f>47360*1.05</f>
        <v>49728</v>
      </c>
      <c r="H148" s="568">
        <f t="shared" si="12"/>
        <v>4972.8</v>
      </c>
      <c r="I148" s="561">
        <f>+G148*0.3</f>
        <v>14918.4</v>
      </c>
      <c r="J148" s="539">
        <v>69619.2</v>
      </c>
      <c r="K148" s="540">
        <f t="shared" si="8"/>
        <v>83543.04</v>
      </c>
      <c r="L148" s="1"/>
      <c r="M148" s="1"/>
      <c r="N148" s="1"/>
      <c r="O148" s="1"/>
      <c r="P148" s="1"/>
    </row>
    <row r="149" spans="1:16" ht="105">
      <c r="A149" s="513" t="str">
        <f t="shared" si="9"/>
        <v>G .</v>
      </c>
      <c r="B149" s="514" t="s">
        <v>903</v>
      </c>
      <c r="C149" s="533"/>
      <c r="D149" s="534"/>
      <c r="E149" s="578" t="s">
        <v>904</v>
      </c>
      <c r="F149" s="517" t="s">
        <v>611</v>
      </c>
      <c r="G149" s="567">
        <f>67700*1.05</f>
        <v>71085</v>
      </c>
      <c r="H149" s="568">
        <f t="shared" si="12"/>
        <v>7108.5</v>
      </c>
      <c r="I149" s="561">
        <f>+G149*0.3</f>
        <v>21325.5</v>
      </c>
      <c r="J149" s="539">
        <v>99519</v>
      </c>
      <c r="K149" s="540">
        <f t="shared" si="8"/>
        <v>119422.79999999999</v>
      </c>
      <c r="L149" s="1"/>
      <c r="M149" s="1"/>
      <c r="N149" s="1"/>
      <c r="O149" s="1"/>
      <c r="P149" s="1"/>
    </row>
    <row r="150" spans="1:16" ht="78.75">
      <c r="A150" s="513" t="str">
        <f t="shared" si="9"/>
        <v>G .</v>
      </c>
      <c r="B150" s="514" t="s">
        <v>905</v>
      </c>
      <c r="C150" s="526" t="s">
        <v>906</v>
      </c>
      <c r="D150" s="534"/>
      <c r="E150" s="578" t="s">
        <v>907</v>
      </c>
      <c r="F150" s="517" t="s">
        <v>802</v>
      </c>
      <c r="G150" s="567">
        <f>130*1.1</f>
        <v>143</v>
      </c>
      <c r="H150" s="568">
        <v>90</v>
      </c>
      <c r="I150" s="561">
        <f>0.08*270.38*2.6</f>
        <v>56.23904</v>
      </c>
      <c r="J150" s="539">
        <v>289.24</v>
      </c>
      <c r="K150" s="540">
        <f t="shared" si="8"/>
        <v>347.088</v>
      </c>
      <c r="L150" s="1"/>
      <c r="M150" s="1"/>
      <c r="N150" s="1"/>
      <c r="O150" s="1"/>
      <c r="P150" s="1"/>
    </row>
    <row r="151" spans="1:16" ht="78.75">
      <c r="A151" s="513" t="str">
        <f t="shared" si="9"/>
        <v>G .</v>
      </c>
      <c r="B151" s="514" t="s">
        <v>908</v>
      </c>
      <c r="C151" s="526" t="s">
        <v>909</v>
      </c>
      <c r="D151" s="534"/>
      <c r="E151" s="578" t="s">
        <v>910</v>
      </c>
      <c r="F151" s="517" t="s">
        <v>602</v>
      </c>
      <c r="G151" s="567">
        <f>50*1.1</f>
        <v>55.00000000000001</v>
      </c>
      <c r="H151" s="568">
        <v>50</v>
      </c>
      <c r="I151" s="561">
        <f>0.362*270.38*2.6</f>
        <v>254.481656</v>
      </c>
      <c r="J151" s="539">
        <v>395.09</v>
      </c>
      <c r="K151" s="540">
        <f t="shared" si="8"/>
        <v>474.10799999999995</v>
      </c>
      <c r="L151" s="1"/>
      <c r="M151" s="1"/>
      <c r="N151" s="1"/>
      <c r="O151" s="1"/>
      <c r="P151" s="1"/>
    </row>
    <row r="152" spans="1:16" ht="78.75">
      <c r="A152" s="513" t="str">
        <f t="shared" si="9"/>
        <v>G .</v>
      </c>
      <c r="B152" s="514" t="s">
        <v>911</v>
      </c>
      <c r="C152" s="526" t="s">
        <v>912</v>
      </c>
      <c r="D152" s="534"/>
      <c r="E152" s="578" t="s">
        <v>913</v>
      </c>
      <c r="F152" s="517" t="s">
        <v>602</v>
      </c>
      <c r="G152" s="567">
        <f>60*1.1</f>
        <v>66</v>
      </c>
      <c r="H152" s="568">
        <v>50</v>
      </c>
      <c r="I152" s="561">
        <f>0.397*270.38*2.6</f>
        <v>279.08623600000004</v>
      </c>
      <c r="J152" s="539">
        <v>240</v>
      </c>
      <c r="K152" s="540">
        <f t="shared" si="8"/>
        <v>288</v>
      </c>
      <c r="L152" s="1"/>
      <c r="M152" s="1"/>
      <c r="N152" s="1"/>
      <c r="O152" s="1"/>
      <c r="P152" s="1"/>
    </row>
    <row r="153" spans="1:16" ht="78.75">
      <c r="A153" s="513" t="str">
        <f t="shared" si="9"/>
        <v>G .</v>
      </c>
      <c r="B153" s="514" t="s">
        <v>914</v>
      </c>
      <c r="C153" s="526" t="s">
        <v>915</v>
      </c>
      <c r="D153" s="534"/>
      <c r="E153" s="578" t="s">
        <v>916</v>
      </c>
      <c r="F153" s="517" t="s">
        <v>602</v>
      </c>
      <c r="G153" s="567">
        <f>85*1.1</f>
        <v>93.50000000000001</v>
      </c>
      <c r="H153" s="568">
        <v>50</v>
      </c>
      <c r="I153" s="561">
        <f>0.432*270.38*2.6</f>
        <v>303.690816</v>
      </c>
      <c r="J153" s="539">
        <v>447.19</v>
      </c>
      <c r="K153" s="540">
        <f t="shared" si="8"/>
        <v>536.6279999999999</v>
      </c>
      <c r="L153" s="1"/>
      <c r="M153" s="1"/>
      <c r="N153" s="1"/>
      <c r="O153" s="1"/>
      <c r="P153" s="1"/>
    </row>
    <row r="154" spans="1:16" ht="78.75">
      <c r="A154" s="513" t="str">
        <f t="shared" si="9"/>
        <v>G .</v>
      </c>
      <c r="B154" s="514" t="s">
        <v>917</v>
      </c>
      <c r="C154" s="526" t="s">
        <v>918</v>
      </c>
      <c r="D154" s="534"/>
      <c r="E154" s="578" t="s">
        <v>919</v>
      </c>
      <c r="F154" s="517" t="s">
        <v>602</v>
      </c>
      <c r="G154" s="567">
        <f>130*1.1</f>
        <v>143</v>
      </c>
      <c r="H154" s="568">
        <v>50</v>
      </c>
      <c r="I154" s="561">
        <f>0.651*270.38*2.6</f>
        <v>457.645188</v>
      </c>
      <c r="J154" s="539">
        <v>650.65</v>
      </c>
      <c r="K154" s="540">
        <f t="shared" si="8"/>
        <v>780.78</v>
      </c>
      <c r="L154" s="1"/>
      <c r="M154" s="1"/>
      <c r="N154" s="1"/>
      <c r="O154" s="1"/>
      <c r="P154" s="1"/>
    </row>
    <row r="155" spans="1:16" ht="78.75">
      <c r="A155" s="513" t="str">
        <f t="shared" si="9"/>
        <v>G .</v>
      </c>
      <c r="B155" s="514" t="s">
        <v>920</v>
      </c>
      <c r="C155" s="526" t="s">
        <v>912</v>
      </c>
      <c r="D155" s="534"/>
      <c r="E155" s="578" t="s">
        <v>921</v>
      </c>
      <c r="F155" s="517" t="s">
        <v>602</v>
      </c>
      <c r="G155" s="567">
        <f>230*1.1</f>
        <v>253.00000000000003</v>
      </c>
      <c r="H155" s="568">
        <v>50</v>
      </c>
      <c r="I155" s="561">
        <f>0.812*270.38*2.6</f>
        <v>570.8262560000001</v>
      </c>
      <c r="J155" s="539">
        <v>873.83</v>
      </c>
      <c r="K155" s="540">
        <f t="shared" si="8"/>
        <v>1048.596</v>
      </c>
      <c r="L155" s="1"/>
      <c r="M155" s="1"/>
      <c r="N155" s="1"/>
      <c r="O155" s="1"/>
      <c r="P155" s="1"/>
    </row>
    <row r="156" spans="1:16" ht="105">
      <c r="A156" s="513" t="str">
        <f t="shared" si="9"/>
        <v>G .</v>
      </c>
      <c r="B156" s="514" t="s">
        <v>922</v>
      </c>
      <c r="C156" s="526" t="s">
        <v>923</v>
      </c>
      <c r="D156" s="534"/>
      <c r="E156" s="578" t="s">
        <v>924</v>
      </c>
      <c r="F156" s="577" t="s">
        <v>822</v>
      </c>
      <c r="G156" s="567">
        <f>160*1.1</f>
        <v>176</v>
      </c>
      <c r="H156" s="568">
        <v>120</v>
      </c>
      <c r="I156" s="561">
        <f>0.063*560.78*2.6</f>
        <v>91.855764</v>
      </c>
      <c r="J156" s="539">
        <v>387.86</v>
      </c>
      <c r="K156" s="540">
        <f t="shared" si="8"/>
        <v>465.432</v>
      </c>
      <c r="L156" s="1"/>
      <c r="M156" s="1"/>
      <c r="N156" s="1"/>
      <c r="O156" s="1"/>
      <c r="P156" s="1"/>
    </row>
    <row r="157" spans="1:16" ht="78.75">
      <c r="A157" s="513" t="str">
        <f t="shared" si="9"/>
        <v>G .</v>
      </c>
      <c r="B157" s="514" t="s">
        <v>925</v>
      </c>
      <c r="C157" s="526" t="s">
        <v>926</v>
      </c>
      <c r="D157" s="534"/>
      <c r="E157" s="578" t="s">
        <v>927</v>
      </c>
      <c r="F157" s="566" t="s">
        <v>928</v>
      </c>
      <c r="G157" s="567">
        <f>((1012*1.1)/10)+200+90</f>
        <v>401.32</v>
      </c>
      <c r="H157" s="568">
        <v>90</v>
      </c>
      <c r="I157" s="561">
        <f>0.3*330.46*2.6</f>
        <v>257.7588</v>
      </c>
      <c r="J157" s="539">
        <v>749.08</v>
      </c>
      <c r="K157" s="540">
        <f t="shared" si="8"/>
        <v>898.8960000000001</v>
      </c>
      <c r="L157" s="1"/>
      <c r="M157" s="1"/>
      <c r="N157" s="1"/>
      <c r="O157" s="1"/>
      <c r="P157" s="1"/>
    </row>
    <row r="158" spans="1:16" ht="26.25">
      <c r="A158" s="575"/>
      <c r="B158" s="562"/>
      <c r="C158" s="533"/>
      <c r="D158" s="534"/>
      <c r="E158" s="579"/>
      <c r="F158" s="535"/>
      <c r="G158" s="536"/>
      <c r="H158" s="537"/>
      <c r="I158" s="538"/>
      <c r="J158" s="539"/>
      <c r="K158" s="540"/>
      <c r="L158" s="1"/>
      <c r="M158" s="1"/>
      <c r="N158" s="1"/>
      <c r="O158" s="1"/>
      <c r="P158" s="1"/>
    </row>
    <row r="159" spans="1:16" ht="27" thickBot="1">
      <c r="A159" s="829" t="s">
        <v>929</v>
      </c>
      <c r="B159" s="830"/>
      <c r="C159" s="495"/>
      <c r="D159" s="496"/>
      <c r="E159" s="737" t="s">
        <v>930</v>
      </c>
      <c r="F159" s="497"/>
      <c r="G159" s="541"/>
      <c r="H159" s="542"/>
      <c r="I159" s="543"/>
      <c r="J159" s="544"/>
      <c r="K159" s="545"/>
      <c r="L159" s="1"/>
      <c r="M159" s="1"/>
      <c r="N159" s="1"/>
      <c r="O159" s="1"/>
      <c r="P159" s="1"/>
    </row>
    <row r="160" spans="1:16" ht="26.25">
      <c r="A160" s="604"/>
      <c r="B160" s="605"/>
      <c r="C160" s="606"/>
      <c r="D160" s="607"/>
      <c r="E160" s="741"/>
      <c r="F160" s="606"/>
      <c r="G160" s="608"/>
      <c r="H160" s="608"/>
      <c r="I160" s="608"/>
      <c r="J160" s="609"/>
      <c r="K160" s="610"/>
      <c r="L160" s="1"/>
      <c r="M160" s="1"/>
      <c r="N160" s="1"/>
      <c r="O160" s="1"/>
      <c r="P160" s="1"/>
    </row>
    <row r="161" spans="1:16" ht="78.75">
      <c r="A161" s="611" t="s">
        <v>929</v>
      </c>
      <c r="B161" s="612" t="s">
        <v>594</v>
      </c>
      <c r="C161" s="613" t="s">
        <v>931</v>
      </c>
      <c r="D161" s="613"/>
      <c r="E161" s="614" t="s">
        <v>932</v>
      </c>
      <c r="F161" s="615" t="s">
        <v>802</v>
      </c>
      <c r="G161" s="616">
        <v>85</v>
      </c>
      <c r="H161" s="616">
        <v>45</v>
      </c>
      <c r="I161" s="616">
        <v>176</v>
      </c>
      <c r="J161" s="617">
        <f>G161+H161+I161</f>
        <v>306</v>
      </c>
      <c r="K161" s="618">
        <f>J161*1.2</f>
        <v>367.2</v>
      </c>
      <c r="L161" s="1"/>
      <c r="M161" s="1"/>
      <c r="N161" s="1"/>
      <c r="O161" s="1"/>
      <c r="P161" s="1"/>
    </row>
    <row r="162" spans="1:16" ht="52.5">
      <c r="A162" s="611" t="s">
        <v>929</v>
      </c>
      <c r="B162" s="612" t="s">
        <v>598</v>
      </c>
      <c r="C162" s="613" t="s">
        <v>933</v>
      </c>
      <c r="D162" s="613"/>
      <c r="E162" s="614" t="s">
        <v>934</v>
      </c>
      <c r="F162" s="615" t="s">
        <v>802</v>
      </c>
      <c r="G162" s="616">
        <v>130</v>
      </c>
      <c r="H162" s="616">
        <v>45</v>
      </c>
      <c r="I162" s="616">
        <v>288</v>
      </c>
      <c r="J162" s="617">
        <f>G162+H162+I162</f>
        <v>463</v>
      </c>
      <c r="K162" s="618">
        <f>J162*1.2</f>
        <v>555.6</v>
      </c>
      <c r="L162" s="1"/>
      <c r="M162" s="1"/>
      <c r="N162" s="1"/>
      <c r="O162" s="1"/>
      <c r="P162" s="1"/>
    </row>
    <row r="163" spans="1:16" ht="26.25">
      <c r="A163" s="619"/>
      <c r="B163" s="612"/>
      <c r="C163" s="613"/>
      <c r="D163" s="613"/>
      <c r="E163" s="614"/>
      <c r="F163" s="620"/>
      <c r="G163" s="616"/>
      <c r="H163" s="616"/>
      <c r="I163" s="616"/>
      <c r="J163" s="617"/>
      <c r="K163" s="618"/>
      <c r="L163" s="1"/>
      <c r="M163" s="1"/>
      <c r="N163" s="1"/>
      <c r="O163" s="1"/>
      <c r="P163" s="1"/>
    </row>
    <row r="164" spans="1:16" ht="51.75" thickBot="1">
      <c r="A164" s="829" t="s">
        <v>935</v>
      </c>
      <c r="B164" s="830"/>
      <c r="C164" s="495"/>
      <c r="D164" s="496"/>
      <c r="E164" s="737" t="s">
        <v>936</v>
      </c>
      <c r="F164" s="497"/>
      <c r="G164" s="541"/>
      <c r="H164" s="542"/>
      <c r="I164" s="543"/>
      <c r="J164" s="544"/>
      <c r="K164" s="545"/>
      <c r="L164" s="1"/>
      <c r="M164" s="1"/>
      <c r="N164" s="1"/>
      <c r="O164" s="1"/>
      <c r="P164" s="1"/>
    </row>
    <row r="165" spans="1:16" ht="26.25">
      <c r="A165" s="503"/>
      <c r="B165" s="546"/>
      <c r="C165" s="547"/>
      <c r="D165" s="548"/>
      <c r="E165" s="740"/>
      <c r="F165" s="549"/>
      <c r="G165" s="550"/>
      <c r="H165" s="551"/>
      <c r="I165" s="552"/>
      <c r="J165" s="553"/>
      <c r="K165" s="554"/>
      <c r="L165" s="1"/>
      <c r="M165" s="1"/>
      <c r="N165" s="1"/>
      <c r="O165" s="1"/>
      <c r="P165" s="1"/>
    </row>
    <row r="166" spans="1:16" ht="52.5">
      <c r="A166" s="513" t="str">
        <f>+A164</f>
        <v>I .</v>
      </c>
      <c r="B166" s="514" t="s">
        <v>594</v>
      </c>
      <c r="C166" s="515" t="s">
        <v>937</v>
      </c>
      <c r="D166" s="516" t="s">
        <v>938</v>
      </c>
      <c r="E166" s="555" t="s">
        <v>939</v>
      </c>
      <c r="F166" s="517" t="s">
        <v>1468</v>
      </c>
      <c r="G166" s="524">
        <v>0</v>
      </c>
      <c r="H166" s="528">
        <v>0</v>
      </c>
      <c r="I166" s="520">
        <f aca="true" t="shared" si="13" ref="I166:I184">+J166-(G166+H166)</f>
        <v>11.73</v>
      </c>
      <c r="J166" s="521">
        <v>11.73</v>
      </c>
      <c r="K166" s="522">
        <f aca="true" t="shared" si="14" ref="K166:K184">+$K166*$L$5</f>
        <v>14.076</v>
      </c>
      <c r="L166" s="1"/>
      <c r="M166" s="1"/>
      <c r="N166" s="1"/>
      <c r="O166" s="1"/>
      <c r="P166" s="1"/>
    </row>
    <row r="167" spans="1:16" ht="52.5">
      <c r="A167" s="513" t="str">
        <f>+A166</f>
        <v>I .</v>
      </c>
      <c r="B167" s="514" t="s">
        <v>598</v>
      </c>
      <c r="C167" s="515" t="s">
        <v>940</v>
      </c>
      <c r="D167" s="516" t="s">
        <v>941</v>
      </c>
      <c r="E167" s="555" t="s">
        <v>942</v>
      </c>
      <c r="F167" s="517" t="s">
        <v>1468</v>
      </c>
      <c r="G167" s="524">
        <v>0</v>
      </c>
      <c r="H167" s="528">
        <v>0</v>
      </c>
      <c r="I167" s="520">
        <f t="shared" si="13"/>
        <v>29.33</v>
      </c>
      <c r="J167" s="521">
        <v>29.33</v>
      </c>
      <c r="K167" s="522">
        <f t="shared" si="14"/>
        <v>35.196</v>
      </c>
      <c r="L167" s="1"/>
      <c r="M167" s="1"/>
      <c r="N167" s="1"/>
      <c r="O167" s="1"/>
      <c r="P167" s="1"/>
    </row>
    <row r="168" spans="1:16" ht="52.5">
      <c r="A168" s="513" t="str">
        <f aca="true" t="shared" si="15" ref="A168:A184">+A167</f>
        <v>I .</v>
      </c>
      <c r="B168" s="514" t="s">
        <v>603</v>
      </c>
      <c r="C168" s="515" t="s">
        <v>943</v>
      </c>
      <c r="D168" s="516" t="s">
        <v>944</v>
      </c>
      <c r="E168" s="555" t="s">
        <v>945</v>
      </c>
      <c r="F168" s="517" t="s">
        <v>1468</v>
      </c>
      <c r="G168" s="524">
        <v>0</v>
      </c>
      <c r="H168" s="528">
        <v>0</v>
      </c>
      <c r="I168" s="520">
        <f t="shared" si="13"/>
        <v>35.19</v>
      </c>
      <c r="J168" s="521">
        <v>35.19</v>
      </c>
      <c r="K168" s="522">
        <f t="shared" si="14"/>
        <v>42.227999999999994</v>
      </c>
      <c r="L168" s="1"/>
      <c r="M168" s="1"/>
      <c r="N168" s="1"/>
      <c r="O168" s="1"/>
      <c r="P168" s="1"/>
    </row>
    <row r="169" spans="1:16" ht="26.25">
      <c r="A169" s="513" t="str">
        <f t="shared" si="15"/>
        <v>I .</v>
      </c>
      <c r="B169" s="514" t="s">
        <v>607</v>
      </c>
      <c r="C169" s="515" t="s">
        <v>946</v>
      </c>
      <c r="D169" s="516" t="s">
        <v>947</v>
      </c>
      <c r="E169" s="555" t="s">
        <v>948</v>
      </c>
      <c r="F169" s="517" t="s">
        <v>1468</v>
      </c>
      <c r="G169" s="524">
        <v>0</v>
      </c>
      <c r="H169" s="528">
        <v>0</v>
      </c>
      <c r="I169" s="520">
        <f t="shared" si="13"/>
        <v>58.66</v>
      </c>
      <c r="J169" s="521">
        <v>58.66</v>
      </c>
      <c r="K169" s="522">
        <f t="shared" si="14"/>
        <v>70.392</v>
      </c>
      <c r="L169" s="1"/>
      <c r="M169" s="1"/>
      <c r="N169" s="1"/>
      <c r="O169" s="1"/>
      <c r="P169" s="1"/>
    </row>
    <row r="170" spans="1:16" ht="52.5">
      <c r="A170" s="513" t="str">
        <f t="shared" si="15"/>
        <v>I .</v>
      </c>
      <c r="B170" s="514" t="s">
        <v>612</v>
      </c>
      <c r="C170" s="515" t="s">
        <v>949</v>
      </c>
      <c r="D170" s="516" t="s">
        <v>950</v>
      </c>
      <c r="E170" s="555" t="s">
        <v>951</v>
      </c>
      <c r="F170" s="517" t="s">
        <v>1468</v>
      </c>
      <c r="G170" s="524">
        <v>0</v>
      </c>
      <c r="H170" s="528">
        <v>0</v>
      </c>
      <c r="I170" s="520">
        <f t="shared" si="13"/>
        <v>2.18</v>
      </c>
      <c r="J170" s="521">
        <v>2.18</v>
      </c>
      <c r="K170" s="522">
        <f t="shared" si="14"/>
        <v>2.616</v>
      </c>
      <c r="L170" s="1"/>
      <c r="M170" s="1"/>
      <c r="N170" s="1"/>
      <c r="O170" s="1"/>
      <c r="P170" s="1"/>
    </row>
    <row r="171" spans="1:16" ht="26.25">
      <c r="A171" s="513" t="str">
        <f t="shared" si="15"/>
        <v>I .</v>
      </c>
      <c r="B171" s="514" t="s">
        <v>616</v>
      </c>
      <c r="C171" s="515" t="s">
        <v>952</v>
      </c>
      <c r="D171" s="516" t="s">
        <v>953</v>
      </c>
      <c r="E171" s="555" t="s">
        <v>954</v>
      </c>
      <c r="F171" s="517" t="s">
        <v>1468</v>
      </c>
      <c r="G171" s="518">
        <v>5</v>
      </c>
      <c r="H171" s="519">
        <v>0</v>
      </c>
      <c r="I171" s="573">
        <f t="shared" si="13"/>
        <v>3.7699999999999996</v>
      </c>
      <c r="J171" s="558">
        <v>8.77</v>
      </c>
      <c r="K171" s="559">
        <f t="shared" si="14"/>
        <v>10.524</v>
      </c>
      <c r="L171" s="1"/>
      <c r="M171" s="1"/>
      <c r="N171" s="1"/>
      <c r="O171" s="1"/>
      <c r="P171" s="1"/>
    </row>
    <row r="172" spans="1:16" ht="52.5">
      <c r="A172" s="513" t="str">
        <f t="shared" si="15"/>
        <v>I .</v>
      </c>
      <c r="B172" s="514" t="s">
        <v>619</v>
      </c>
      <c r="C172" s="515" t="s">
        <v>955</v>
      </c>
      <c r="D172" s="516" t="s">
        <v>956</v>
      </c>
      <c r="E172" s="555" t="s">
        <v>957</v>
      </c>
      <c r="F172" s="517" t="s">
        <v>1468</v>
      </c>
      <c r="G172" s="518">
        <v>5</v>
      </c>
      <c r="H172" s="519">
        <v>0</v>
      </c>
      <c r="I172" s="573">
        <f t="shared" si="13"/>
        <v>5.24</v>
      </c>
      <c r="J172" s="521">
        <v>10.24</v>
      </c>
      <c r="K172" s="522">
        <f t="shared" si="14"/>
        <v>12.288</v>
      </c>
      <c r="L172" s="1"/>
      <c r="M172" s="1"/>
      <c r="N172" s="1"/>
      <c r="O172" s="1"/>
      <c r="P172" s="1"/>
    </row>
    <row r="173" spans="1:16" ht="105">
      <c r="A173" s="513" t="str">
        <f t="shared" si="15"/>
        <v>I .</v>
      </c>
      <c r="B173" s="514" t="s">
        <v>622</v>
      </c>
      <c r="C173" s="515" t="s">
        <v>958</v>
      </c>
      <c r="D173" s="516" t="s">
        <v>959</v>
      </c>
      <c r="E173" s="555" t="s">
        <v>960</v>
      </c>
      <c r="F173" s="523" t="s">
        <v>611</v>
      </c>
      <c r="G173" s="524">
        <v>0</v>
      </c>
      <c r="H173" s="528">
        <v>0</v>
      </c>
      <c r="I173" s="520">
        <f t="shared" si="13"/>
        <v>324.7</v>
      </c>
      <c r="J173" s="521">
        <v>324.7</v>
      </c>
      <c r="K173" s="522">
        <f t="shared" si="14"/>
        <v>389.64</v>
      </c>
      <c r="L173" s="1"/>
      <c r="M173" s="1"/>
      <c r="N173" s="1"/>
      <c r="O173" s="1"/>
      <c r="P173" s="1"/>
    </row>
    <row r="174" spans="1:16" ht="105">
      <c r="A174" s="513" t="str">
        <f t="shared" si="15"/>
        <v>I .</v>
      </c>
      <c r="B174" s="514" t="s">
        <v>625</v>
      </c>
      <c r="C174" s="515" t="s">
        <v>961</v>
      </c>
      <c r="D174" s="516" t="s">
        <v>962</v>
      </c>
      <c r="E174" s="555" t="s">
        <v>963</v>
      </c>
      <c r="F174" s="523" t="s">
        <v>611</v>
      </c>
      <c r="G174" s="524">
        <v>0</v>
      </c>
      <c r="H174" s="528">
        <v>0</v>
      </c>
      <c r="I174" s="520">
        <f t="shared" si="13"/>
        <v>602.85</v>
      </c>
      <c r="J174" s="521">
        <v>602.85</v>
      </c>
      <c r="K174" s="522">
        <f t="shared" si="14"/>
        <v>723.42</v>
      </c>
      <c r="L174" s="1"/>
      <c r="M174" s="1"/>
      <c r="N174" s="1"/>
      <c r="O174" s="1"/>
      <c r="P174" s="1"/>
    </row>
    <row r="175" spans="1:16" ht="105">
      <c r="A175" s="513" t="str">
        <f t="shared" si="15"/>
        <v>I .</v>
      </c>
      <c r="B175" s="514" t="s">
        <v>628</v>
      </c>
      <c r="C175" s="515" t="s">
        <v>964</v>
      </c>
      <c r="D175" s="516" t="s">
        <v>965</v>
      </c>
      <c r="E175" s="555" t="s">
        <v>966</v>
      </c>
      <c r="F175" s="523" t="s">
        <v>611</v>
      </c>
      <c r="G175" s="524">
        <v>0</v>
      </c>
      <c r="H175" s="528">
        <v>0</v>
      </c>
      <c r="I175" s="520">
        <f t="shared" si="13"/>
        <v>1458.18</v>
      </c>
      <c r="J175" s="521">
        <v>1458.18</v>
      </c>
      <c r="K175" s="522">
        <f t="shared" si="14"/>
        <v>1749.816</v>
      </c>
      <c r="L175" s="1"/>
      <c r="M175" s="1"/>
      <c r="N175" s="1"/>
      <c r="O175" s="1"/>
      <c r="P175" s="1"/>
    </row>
    <row r="176" spans="1:16" ht="105">
      <c r="A176" s="513" t="str">
        <f t="shared" si="15"/>
        <v>I .</v>
      </c>
      <c r="B176" s="514" t="s">
        <v>630</v>
      </c>
      <c r="C176" s="515" t="s">
        <v>967</v>
      </c>
      <c r="D176" s="516" t="s">
        <v>968</v>
      </c>
      <c r="E176" s="555" t="s">
        <v>969</v>
      </c>
      <c r="F176" s="523" t="s">
        <v>611</v>
      </c>
      <c r="G176" s="524">
        <v>0</v>
      </c>
      <c r="H176" s="528">
        <v>0</v>
      </c>
      <c r="I176" s="520">
        <f t="shared" si="13"/>
        <v>2686.58</v>
      </c>
      <c r="J176" s="521">
        <v>2686.58</v>
      </c>
      <c r="K176" s="522">
        <f t="shared" si="14"/>
        <v>3223.8959999999997</v>
      </c>
      <c r="L176" s="1"/>
      <c r="M176" s="1"/>
      <c r="N176" s="1"/>
      <c r="O176" s="1"/>
      <c r="P176" s="1"/>
    </row>
    <row r="177" spans="1:16" ht="52.5">
      <c r="A177" s="513" t="str">
        <f t="shared" si="15"/>
        <v>I .</v>
      </c>
      <c r="B177" s="514" t="s">
        <v>633</v>
      </c>
      <c r="C177" s="515" t="s">
        <v>970</v>
      </c>
      <c r="D177" s="516" t="s">
        <v>971</v>
      </c>
      <c r="E177" s="555" t="s">
        <v>972</v>
      </c>
      <c r="F177" s="523" t="s">
        <v>611</v>
      </c>
      <c r="G177" s="524">
        <v>0</v>
      </c>
      <c r="H177" s="528">
        <v>0</v>
      </c>
      <c r="I177" s="520">
        <f t="shared" si="13"/>
        <v>821.18</v>
      </c>
      <c r="J177" s="521">
        <v>821.18</v>
      </c>
      <c r="K177" s="522">
        <f t="shared" si="14"/>
        <v>985.4159999999999</v>
      </c>
      <c r="L177" s="1"/>
      <c r="M177" s="1"/>
      <c r="N177" s="1"/>
      <c r="O177" s="1"/>
      <c r="P177" s="1"/>
    </row>
    <row r="178" spans="1:16" ht="52.5">
      <c r="A178" s="513" t="str">
        <f t="shared" si="15"/>
        <v>I .</v>
      </c>
      <c r="B178" s="514" t="s">
        <v>635</v>
      </c>
      <c r="C178" s="515" t="s">
        <v>973</v>
      </c>
      <c r="D178" s="516" t="s">
        <v>974</v>
      </c>
      <c r="E178" s="555" t="s">
        <v>975</v>
      </c>
      <c r="F178" s="523" t="s">
        <v>611</v>
      </c>
      <c r="G178" s="524">
        <v>0</v>
      </c>
      <c r="H178" s="528">
        <v>0</v>
      </c>
      <c r="I178" s="520">
        <f t="shared" si="13"/>
        <v>1290.42</v>
      </c>
      <c r="J178" s="521">
        <v>1290.42</v>
      </c>
      <c r="K178" s="522">
        <f t="shared" si="14"/>
        <v>1548.5040000000001</v>
      </c>
      <c r="L178" s="1"/>
      <c r="M178" s="1"/>
      <c r="N178" s="1"/>
      <c r="O178" s="1"/>
      <c r="P178" s="1"/>
    </row>
    <row r="179" spans="1:16" ht="52.5">
      <c r="A179" s="513" t="str">
        <f t="shared" si="15"/>
        <v>I .</v>
      </c>
      <c r="B179" s="514" t="s">
        <v>679</v>
      </c>
      <c r="C179" s="515" t="s">
        <v>976</v>
      </c>
      <c r="D179" s="516" t="s">
        <v>977</v>
      </c>
      <c r="E179" s="555" t="s">
        <v>978</v>
      </c>
      <c r="F179" s="523" t="s">
        <v>611</v>
      </c>
      <c r="G179" s="524">
        <v>0</v>
      </c>
      <c r="H179" s="528">
        <v>0</v>
      </c>
      <c r="I179" s="520">
        <f t="shared" si="13"/>
        <v>3519.33</v>
      </c>
      <c r="J179" s="521">
        <v>3519.33</v>
      </c>
      <c r="K179" s="522">
        <f t="shared" si="14"/>
        <v>4223.196</v>
      </c>
      <c r="L179" s="1"/>
      <c r="M179" s="1"/>
      <c r="N179" s="1"/>
      <c r="O179" s="1"/>
      <c r="P179" s="1"/>
    </row>
    <row r="180" spans="1:16" ht="52.5">
      <c r="A180" s="513" t="str">
        <f t="shared" si="15"/>
        <v>I .</v>
      </c>
      <c r="B180" s="514" t="s">
        <v>683</v>
      </c>
      <c r="C180" s="515" t="s">
        <v>979</v>
      </c>
      <c r="D180" s="516" t="s">
        <v>980</v>
      </c>
      <c r="E180" s="555" t="s">
        <v>981</v>
      </c>
      <c r="F180" s="523" t="s">
        <v>611</v>
      </c>
      <c r="G180" s="524">
        <v>0</v>
      </c>
      <c r="H180" s="528">
        <v>0</v>
      </c>
      <c r="I180" s="520">
        <f t="shared" si="13"/>
        <v>8798.33</v>
      </c>
      <c r="J180" s="521">
        <v>8798.33</v>
      </c>
      <c r="K180" s="522">
        <f t="shared" si="14"/>
        <v>10557.996</v>
      </c>
      <c r="L180" s="1"/>
      <c r="M180" s="1"/>
      <c r="N180" s="1"/>
      <c r="O180" s="1"/>
      <c r="P180" s="1"/>
    </row>
    <row r="181" spans="1:16" ht="52.5">
      <c r="A181" s="513" t="str">
        <f t="shared" si="15"/>
        <v>I .</v>
      </c>
      <c r="B181" s="514" t="s">
        <v>687</v>
      </c>
      <c r="C181" s="515" t="s">
        <v>982</v>
      </c>
      <c r="D181" s="516" t="s">
        <v>983</v>
      </c>
      <c r="E181" s="555" t="s">
        <v>984</v>
      </c>
      <c r="F181" s="517" t="s">
        <v>1468</v>
      </c>
      <c r="G181" s="524">
        <v>0</v>
      </c>
      <c r="H181" s="528">
        <v>0</v>
      </c>
      <c r="I181" s="520">
        <f t="shared" si="13"/>
        <v>821.18</v>
      </c>
      <c r="J181" s="521">
        <v>821.18</v>
      </c>
      <c r="K181" s="522">
        <f t="shared" si="14"/>
        <v>985.4159999999999</v>
      </c>
      <c r="L181" s="1"/>
      <c r="M181" s="1"/>
      <c r="N181" s="1"/>
      <c r="O181" s="1"/>
      <c r="P181" s="1"/>
    </row>
    <row r="182" spans="1:16" ht="52.5">
      <c r="A182" s="513" t="str">
        <f t="shared" si="15"/>
        <v>I .</v>
      </c>
      <c r="B182" s="514" t="s">
        <v>691</v>
      </c>
      <c r="C182" s="515" t="s">
        <v>985</v>
      </c>
      <c r="D182" s="516" t="s">
        <v>986</v>
      </c>
      <c r="E182" s="576" t="s">
        <v>987</v>
      </c>
      <c r="F182" s="517" t="s">
        <v>1468</v>
      </c>
      <c r="G182" s="524">
        <v>0</v>
      </c>
      <c r="H182" s="528">
        <v>0</v>
      </c>
      <c r="I182" s="520">
        <f t="shared" si="13"/>
        <v>1290.42</v>
      </c>
      <c r="J182" s="521">
        <v>1290.42</v>
      </c>
      <c r="K182" s="522">
        <f t="shared" si="14"/>
        <v>1548.5040000000001</v>
      </c>
      <c r="L182" s="1"/>
      <c r="M182" s="1"/>
      <c r="N182" s="1"/>
      <c r="O182" s="1"/>
      <c r="P182" s="1"/>
    </row>
    <row r="183" spans="1:16" ht="52.5">
      <c r="A183" s="513" t="str">
        <f t="shared" si="15"/>
        <v>I .</v>
      </c>
      <c r="B183" s="514" t="s">
        <v>695</v>
      </c>
      <c r="C183" s="515" t="s">
        <v>988</v>
      </c>
      <c r="D183" s="527"/>
      <c r="E183" s="578" t="s">
        <v>989</v>
      </c>
      <c r="F183" s="517" t="s">
        <v>1468</v>
      </c>
      <c r="G183" s="524">
        <v>0</v>
      </c>
      <c r="H183" s="528">
        <v>0</v>
      </c>
      <c r="I183" s="520">
        <f t="shared" si="13"/>
        <v>22.36</v>
      </c>
      <c r="J183" s="529">
        <v>22.36</v>
      </c>
      <c r="K183" s="530">
        <f t="shared" si="14"/>
        <v>26.831999999999997</v>
      </c>
      <c r="L183" s="1"/>
      <c r="M183" s="1"/>
      <c r="N183" s="1"/>
      <c r="O183" s="1"/>
      <c r="P183" s="1"/>
    </row>
    <row r="184" spans="1:16" ht="52.5">
      <c r="A184" s="513" t="str">
        <f t="shared" si="15"/>
        <v>I .</v>
      </c>
      <c r="B184" s="514" t="s">
        <v>699</v>
      </c>
      <c r="C184" s="526"/>
      <c r="D184" s="527"/>
      <c r="E184" s="578" t="s">
        <v>990</v>
      </c>
      <c r="F184" s="517" t="s">
        <v>1468</v>
      </c>
      <c r="G184" s="524">
        <v>0</v>
      </c>
      <c r="H184" s="528">
        <v>0</v>
      </c>
      <c r="I184" s="520">
        <f t="shared" si="13"/>
        <v>52.5</v>
      </c>
      <c r="J184" s="529">
        <v>52.5</v>
      </c>
      <c r="K184" s="530">
        <f t="shared" si="14"/>
        <v>63</v>
      </c>
      <c r="L184" s="1"/>
      <c r="M184" s="1"/>
      <c r="N184" s="1"/>
      <c r="O184" s="1"/>
      <c r="P184" s="1"/>
    </row>
    <row r="185" spans="1:16" ht="27" thickBot="1">
      <c r="A185" s="829" t="s">
        <v>991</v>
      </c>
      <c r="B185" s="830"/>
      <c r="C185" s="571"/>
      <c r="D185" s="496"/>
      <c r="E185" s="742" t="s">
        <v>992</v>
      </c>
      <c r="F185" s="621"/>
      <c r="G185" s="622"/>
      <c r="H185" s="623"/>
      <c r="I185" s="624"/>
      <c r="J185" s="544"/>
      <c r="K185" s="545"/>
      <c r="L185" s="1"/>
      <c r="M185" s="1"/>
      <c r="N185" s="1"/>
      <c r="O185" s="1"/>
      <c r="P185" s="1"/>
    </row>
    <row r="186" spans="1:16" ht="26.25">
      <c r="A186" s="503"/>
      <c r="B186" s="625"/>
      <c r="C186" s="572"/>
      <c r="D186" s="548"/>
      <c r="E186" s="743"/>
      <c r="F186" s="626"/>
      <c r="G186" s="627"/>
      <c r="H186" s="628"/>
      <c r="I186" s="629"/>
      <c r="J186" s="553"/>
      <c r="K186" s="554"/>
      <c r="L186" s="1"/>
      <c r="M186" s="1"/>
      <c r="N186" s="1"/>
      <c r="O186" s="1"/>
      <c r="P186" s="1"/>
    </row>
    <row r="187" spans="1:16" ht="78.75">
      <c r="A187" s="513" t="str">
        <f>+A185</f>
        <v>J .</v>
      </c>
      <c r="B187" s="514" t="s">
        <v>594</v>
      </c>
      <c r="C187" s="515" t="s">
        <v>993</v>
      </c>
      <c r="D187" s="516" t="s">
        <v>994</v>
      </c>
      <c r="E187" s="576" t="s">
        <v>995</v>
      </c>
      <c r="F187" s="523" t="s">
        <v>611</v>
      </c>
      <c r="G187" s="524">
        <f>+(J187-I187)*0.9</f>
        <v>10731.275784</v>
      </c>
      <c r="H187" s="528">
        <f>+J187-(G187+I187)</f>
        <v>1192.3639760000005</v>
      </c>
      <c r="I187" s="520">
        <f>+(0.2+0.38+0.4+1.1+0.4)*270.38*2.6</f>
        <v>1743.41024</v>
      </c>
      <c r="J187" s="521">
        <v>13667.05</v>
      </c>
      <c r="K187" s="522">
        <f aca="true" t="shared" si="16" ref="K187:K194">+$K187*$L$5</f>
        <v>16400.46</v>
      </c>
      <c r="L187" s="1"/>
      <c r="M187" s="1"/>
      <c r="N187" s="1"/>
      <c r="O187" s="1"/>
      <c r="P187" s="1"/>
    </row>
    <row r="188" spans="1:16" ht="105">
      <c r="A188" s="513" t="str">
        <f>+A187</f>
        <v>J .</v>
      </c>
      <c r="B188" s="514" t="s">
        <v>598</v>
      </c>
      <c r="C188" s="515" t="s">
        <v>993</v>
      </c>
      <c r="D188" s="516"/>
      <c r="E188" s="576" t="s">
        <v>996</v>
      </c>
      <c r="F188" s="523" t="s">
        <v>611</v>
      </c>
      <c r="G188" s="524">
        <f>+(J188-I188)*0.9</f>
        <v>8080.976928</v>
      </c>
      <c r="H188" s="528">
        <f>+J188-(G188+I188)</f>
        <v>897.8863253333329</v>
      </c>
      <c r="I188" s="520">
        <f>+((0.2+0.38+0.4+1.1+0.4)*270.38*2.6)/3</f>
        <v>581.1367466666667</v>
      </c>
      <c r="J188" s="521">
        <v>9560</v>
      </c>
      <c r="K188" s="522">
        <f t="shared" si="16"/>
        <v>11472</v>
      </c>
      <c r="L188" s="1"/>
      <c r="M188" s="1"/>
      <c r="N188" s="1"/>
      <c r="O188" s="1"/>
      <c r="P188" s="1"/>
    </row>
    <row r="189" spans="1:16" ht="78.75">
      <c r="A189" s="513" t="str">
        <f aca="true" t="shared" si="17" ref="A189:A194">+A188</f>
        <v>J .</v>
      </c>
      <c r="B189" s="514" t="s">
        <v>603</v>
      </c>
      <c r="C189" s="515" t="s">
        <v>997</v>
      </c>
      <c r="D189" s="516"/>
      <c r="E189" s="576" t="s">
        <v>998</v>
      </c>
      <c r="F189" s="517" t="s">
        <v>1469</v>
      </c>
      <c r="G189" s="518">
        <f>+J189-(H189+I189)</f>
        <v>2661.9623519999986</v>
      </c>
      <c r="H189" s="519">
        <f>+H194</f>
        <v>3154.44</v>
      </c>
      <c r="I189" s="573">
        <f>12.988*330.46*2.6</f>
        <v>11159.237648</v>
      </c>
      <c r="J189" s="521">
        <v>16975.64</v>
      </c>
      <c r="K189" s="522">
        <f t="shared" si="16"/>
        <v>20370.768</v>
      </c>
      <c r="L189" s="1"/>
      <c r="M189" s="1"/>
      <c r="N189" s="1"/>
      <c r="O189" s="1"/>
      <c r="P189" s="1"/>
    </row>
    <row r="190" spans="1:16" ht="105">
      <c r="A190" s="513" t="str">
        <f t="shared" si="17"/>
        <v>J .</v>
      </c>
      <c r="B190" s="514" t="s">
        <v>607</v>
      </c>
      <c r="C190" s="515" t="s">
        <v>999</v>
      </c>
      <c r="D190" s="630"/>
      <c r="E190" s="578" t="s">
        <v>1000</v>
      </c>
      <c r="F190" s="517" t="s">
        <v>1468</v>
      </c>
      <c r="G190" s="518">
        <f>+(0.35*1730)+200</f>
        <v>805.5</v>
      </c>
      <c r="H190" s="519">
        <f>+G190*0.1</f>
        <v>80.55000000000001</v>
      </c>
      <c r="I190" s="573">
        <f>11.039*330.46*2.6*0.2*2</f>
        <v>3793.8658576</v>
      </c>
      <c r="J190" s="529">
        <v>4679.92</v>
      </c>
      <c r="K190" s="530">
        <f t="shared" si="16"/>
        <v>5615.9039999999995</v>
      </c>
      <c r="L190" s="1"/>
      <c r="M190" s="1"/>
      <c r="N190" s="1"/>
      <c r="O190" s="1"/>
      <c r="P190" s="1"/>
    </row>
    <row r="191" spans="1:16" ht="78.75">
      <c r="A191" s="513" t="str">
        <f t="shared" si="17"/>
        <v>J .</v>
      </c>
      <c r="B191" s="514" t="s">
        <v>612</v>
      </c>
      <c r="C191" s="526" t="s">
        <v>1001</v>
      </c>
      <c r="D191" s="527"/>
      <c r="E191" s="578" t="s">
        <v>1002</v>
      </c>
      <c r="F191" s="517" t="s">
        <v>1468</v>
      </c>
      <c r="G191" s="518">
        <f>+J191-I191</f>
        <v>89.37062400000008</v>
      </c>
      <c r="H191" s="519">
        <v>0</v>
      </c>
      <c r="I191" s="573">
        <f>+(0.3+0.171+0.081)*270.38*2.6</f>
        <v>388.04937599999994</v>
      </c>
      <c r="J191" s="529">
        <v>477.42</v>
      </c>
      <c r="K191" s="530">
        <f t="shared" si="16"/>
        <v>572.904</v>
      </c>
      <c r="L191" s="1"/>
      <c r="M191" s="1"/>
      <c r="N191" s="1"/>
      <c r="O191" s="1"/>
      <c r="P191" s="1"/>
    </row>
    <row r="192" spans="1:16" ht="26.25">
      <c r="A192" s="513" t="str">
        <f t="shared" si="17"/>
        <v>J .</v>
      </c>
      <c r="B192" s="514" t="s">
        <v>616</v>
      </c>
      <c r="C192" s="526"/>
      <c r="D192" s="527"/>
      <c r="E192" s="578" t="s">
        <v>1003</v>
      </c>
      <c r="F192" s="517" t="s">
        <v>1469</v>
      </c>
      <c r="G192" s="518">
        <v>1730</v>
      </c>
      <c r="H192" s="519">
        <f>1577.22*2</f>
        <v>3154.44</v>
      </c>
      <c r="I192" s="520">
        <f>+J192-(G192+H192)</f>
        <v>615.5599999999995</v>
      </c>
      <c r="J192" s="529">
        <v>5500</v>
      </c>
      <c r="K192" s="530">
        <f t="shared" si="16"/>
        <v>6600</v>
      </c>
      <c r="L192" s="1"/>
      <c r="M192" s="1"/>
      <c r="N192" s="1"/>
      <c r="O192" s="1"/>
      <c r="P192" s="1"/>
    </row>
    <row r="193" spans="1:16" ht="52.5">
      <c r="A193" s="513" t="str">
        <f t="shared" si="17"/>
        <v>J .</v>
      </c>
      <c r="B193" s="514" t="s">
        <v>619</v>
      </c>
      <c r="C193" s="526" t="s">
        <v>1004</v>
      </c>
      <c r="D193" s="527"/>
      <c r="E193" s="578" t="s">
        <v>1005</v>
      </c>
      <c r="F193" s="517" t="s">
        <v>1468</v>
      </c>
      <c r="G193" s="518">
        <v>173</v>
      </c>
      <c r="H193" s="519">
        <f>+J193-(I193+G193)</f>
        <v>79.63791518462597</v>
      </c>
      <c r="I193" s="573">
        <v>297.36208481537403</v>
      </c>
      <c r="J193" s="529">
        <v>550</v>
      </c>
      <c r="K193" s="530">
        <f t="shared" si="16"/>
        <v>660</v>
      </c>
      <c r="L193" s="1"/>
      <c r="M193" s="1"/>
      <c r="N193" s="1"/>
      <c r="O193" s="1"/>
      <c r="P193" s="1"/>
    </row>
    <row r="194" spans="1:16" ht="52.5">
      <c r="A194" s="513" t="str">
        <f t="shared" si="17"/>
        <v>J .</v>
      </c>
      <c r="B194" s="514" t="s">
        <v>622</v>
      </c>
      <c r="C194" s="526"/>
      <c r="D194" s="527"/>
      <c r="E194" s="578" t="s">
        <v>1006</v>
      </c>
      <c r="F194" s="517" t="s">
        <v>1469</v>
      </c>
      <c r="G194" s="518">
        <v>1630</v>
      </c>
      <c r="H194" s="519">
        <f>+H192</f>
        <v>3154.44</v>
      </c>
      <c r="I194" s="520">
        <f>+J194-(G194+H194)</f>
        <v>1715.5599999999995</v>
      </c>
      <c r="J194" s="529">
        <v>6500</v>
      </c>
      <c r="K194" s="530">
        <f t="shared" si="16"/>
        <v>7800</v>
      </c>
      <c r="L194" s="1"/>
      <c r="M194" s="1"/>
      <c r="N194" s="1"/>
      <c r="O194" s="1"/>
      <c r="P194" s="1"/>
    </row>
    <row r="195" spans="1:16" ht="26.25">
      <c r="A195" s="575"/>
      <c r="B195" s="562"/>
      <c r="C195" s="533"/>
      <c r="D195" s="534"/>
      <c r="E195" s="579"/>
      <c r="F195" s="566"/>
      <c r="G195" s="567"/>
      <c r="H195" s="568"/>
      <c r="I195" s="561"/>
      <c r="J195" s="539"/>
      <c r="K195" s="540"/>
      <c r="L195" s="1"/>
      <c r="M195" s="1"/>
      <c r="N195" s="1"/>
      <c r="O195" s="1"/>
      <c r="P195" s="1"/>
    </row>
    <row r="196" spans="1:16" ht="77.25" thickBot="1">
      <c r="A196" s="829" t="s">
        <v>1007</v>
      </c>
      <c r="B196" s="830"/>
      <c r="C196" s="571"/>
      <c r="D196" s="496"/>
      <c r="E196" s="742" t="s">
        <v>1008</v>
      </c>
      <c r="F196" s="621"/>
      <c r="G196" s="622"/>
      <c r="H196" s="623"/>
      <c r="I196" s="624"/>
      <c r="J196" s="544"/>
      <c r="K196" s="545"/>
      <c r="L196" s="1"/>
      <c r="M196" s="1"/>
      <c r="N196" s="1"/>
      <c r="O196" s="1"/>
      <c r="P196" s="1"/>
    </row>
    <row r="197" spans="1:16" ht="26.25">
      <c r="A197" s="503"/>
      <c r="B197" s="631"/>
      <c r="C197" s="572"/>
      <c r="D197" s="548"/>
      <c r="E197" s="743"/>
      <c r="F197" s="626"/>
      <c r="G197" s="627"/>
      <c r="H197" s="628"/>
      <c r="I197" s="629"/>
      <c r="J197" s="553"/>
      <c r="K197" s="554"/>
      <c r="L197" s="1"/>
      <c r="M197" s="1"/>
      <c r="N197" s="1"/>
      <c r="O197" s="1"/>
      <c r="P197" s="1"/>
    </row>
    <row r="198" spans="1:16" ht="105">
      <c r="A198" s="513" t="str">
        <f>+A196</f>
        <v>K .</v>
      </c>
      <c r="B198" s="514" t="s">
        <v>594</v>
      </c>
      <c r="C198" s="515" t="s">
        <v>1009</v>
      </c>
      <c r="D198" s="516" t="s">
        <v>1010</v>
      </c>
      <c r="E198" s="576" t="s">
        <v>1011</v>
      </c>
      <c r="F198" s="517" t="s">
        <v>1469</v>
      </c>
      <c r="G198" s="524">
        <v>0</v>
      </c>
      <c r="H198" s="528">
        <v>0</v>
      </c>
      <c r="I198" s="520">
        <f>+J198-(G198+H198)</f>
        <v>932.62</v>
      </c>
      <c r="J198" s="521">
        <v>932.62</v>
      </c>
      <c r="K198" s="522">
        <f aca="true" t="shared" si="18" ref="K198:K214">+$K198*$L$5</f>
        <v>1119.144</v>
      </c>
      <c r="L198" s="1"/>
      <c r="M198" s="1"/>
      <c r="N198" s="1"/>
      <c r="O198" s="1"/>
      <c r="P198" s="1"/>
    </row>
    <row r="199" spans="1:16" ht="78.75">
      <c r="A199" s="513" t="str">
        <f>+A198</f>
        <v>K .</v>
      </c>
      <c r="B199" s="514" t="s">
        <v>598</v>
      </c>
      <c r="C199" s="515" t="s">
        <v>1012</v>
      </c>
      <c r="D199" s="516" t="s">
        <v>1013</v>
      </c>
      <c r="E199" s="576" t="s">
        <v>1014</v>
      </c>
      <c r="F199" s="517" t="s">
        <v>1469</v>
      </c>
      <c r="G199" s="524">
        <v>0</v>
      </c>
      <c r="H199" s="528">
        <v>0</v>
      </c>
      <c r="I199" s="520">
        <f>+J199-(G199+H199)</f>
        <v>1061.67</v>
      </c>
      <c r="J199" s="521">
        <v>1061.67</v>
      </c>
      <c r="K199" s="522">
        <f t="shared" si="18"/>
        <v>1274.0040000000001</v>
      </c>
      <c r="L199" s="1"/>
      <c r="M199" s="1"/>
      <c r="N199" s="1"/>
      <c r="O199" s="1"/>
      <c r="P199" s="1"/>
    </row>
    <row r="200" spans="1:16" ht="52.5">
      <c r="A200" s="513" t="str">
        <f aca="true" t="shared" si="19" ref="A200:A214">+A199</f>
        <v>K .</v>
      </c>
      <c r="B200" s="514" t="s">
        <v>603</v>
      </c>
      <c r="C200" s="515" t="s">
        <v>1015</v>
      </c>
      <c r="D200" s="516" t="s">
        <v>1016</v>
      </c>
      <c r="E200" s="576" t="s">
        <v>1017</v>
      </c>
      <c r="F200" s="517" t="s">
        <v>1469</v>
      </c>
      <c r="G200" s="524">
        <v>0</v>
      </c>
      <c r="H200" s="528">
        <v>0</v>
      </c>
      <c r="I200" s="520">
        <f aca="true" t="shared" si="20" ref="I200:I214">+J200-(G200+H200)</f>
        <v>973.68</v>
      </c>
      <c r="J200" s="521">
        <v>973.68</v>
      </c>
      <c r="K200" s="522">
        <f t="shared" si="18"/>
        <v>1168.416</v>
      </c>
      <c r="L200" s="1"/>
      <c r="M200" s="1"/>
      <c r="N200" s="1"/>
      <c r="O200" s="1"/>
      <c r="P200" s="1"/>
    </row>
    <row r="201" spans="1:16" ht="52.5">
      <c r="A201" s="513" t="str">
        <f t="shared" si="19"/>
        <v>K .</v>
      </c>
      <c r="B201" s="514" t="s">
        <v>607</v>
      </c>
      <c r="C201" s="515" t="s">
        <v>1018</v>
      </c>
      <c r="D201" s="516" t="s">
        <v>1019</v>
      </c>
      <c r="E201" s="576" t="s">
        <v>1020</v>
      </c>
      <c r="F201" s="517" t="s">
        <v>1469</v>
      </c>
      <c r="G201" s="524">
        <v>0</v>
      </c>
      <c r="H201" s="528">
        <v>0</v>
      </c>
      <c r="I201" s="520">
        <f t="shared" si="20"/>
        <v>1008.88</v>
      </c>
      <c r="J201" s="521">
        <v>1008.88</v>
      </c>
      <c r="K201" s="522">
        <f t="shared" si="18"/>
        <v>1210.656</v>
      </c>
      <c r="L201" s="1"/>
      <c r="M201" s="1"/>
      <c r="N201" s="1"/>
      <c r="O201" s="1"/>
      <c r="P201" s="1"/>
    </row>
    <row r="202" spans="1:16" ht="26.25">
      <c r="A202" s="513" t="str">
        <f t="shared" si="19"/>
        <v>K .</v>
      </c>
      <c r="B202" s="514" t="s">
        <v>612</v>
      </c>
      <c r="C202" s="515" t="s">
        <v>1021</v>
      </c>
      <c r="D202" s="516" t="s">
        <v>1022</v>
      </c>
      <c r="E202" s="555" t="s">
        <v>1023</v>
      </c>
      <c r="F202" s="517" t="s">
        <v>1469</v>
      </c>
      <c r="G202" s="524">
        <v>0</v>
      </c>
      <c r="H202" s="528">
        <v>0</v>
      </c>
      <c r="I202" s="520">
        <f t="shared" si="20"/>
        <v>1460.52</v>
      </c>
      <c r="J202" s="521">
        <v>1460.52</v>
      </c>
      <c r="K202" s="522">
        <f t="shared" si="18"/>
        <v>1752.624</v>
      </c>
      <c r="L202" s="1"/>
      <c r="M202" s="1"/>
      <c r="N202" s="1"/>
      <c r="O202" s="1"/>
      <c r="P202" s="1"/>
    </row>
    <row r="203" spans="1:16" ht="52.5">
      <c r="A203" s="513" t="str">
        <f t="shared" si="19"/>
        <v>K .</v>
      </c>
      <c r="B203" s="514" t="s">
        <v>616</v>
      </c>
      <c r="C203" s="515" t="s">
        <v>1024</v>
      </c>
      <c r="D203" s="516" t="s">
        <v>1025</v>
      </c>
      <c r="E203" s="555" t="s">
        <v>1026</v>
      </c>
      <c r="F203" s="517" t="s">
        <v>1469</v>
      </c>
      <c r="G203" s="524">
        <v>0</v>
      </c>
      <c r="H203" s="528">
        <v>0</v>
      </c>
      <c r="I203" s="520">
        <f t="shared" si="20"/>
        <v>1061.67</v>
      </c>
      <c r="J203" s="521">
        <v>1061.67</v>
      </c>
      <c r="K203" s="522">
        <f t="shared" si="18"/>
        <v>1274.0040000000001</v>
      </c>
      <c r="L203" s="1"/>
      <c r="M203" s="1"/>
      <c r="N203" s="1"/>
      <c r="O203" s="1"/>
      <c r="P203" s="1"/>
    </row>
    <row r="204" spans="1:16" ht="26.25">
      <c r="A204" s="513" t="str">
        <f t="shared" si="19"/>
        <v>K .</v>
      </c>
      <c r="B204" s="514" t="s">
        <v>619</v>
      </c>
      <c r="C204" s="515" t="s">
        <v>993</v>
      </c>
      <c r="D204" s="516" t="s">
        <v>1027</v>
      </c>
      <c r="E204" s="555" t="s">
        <v>1028</v>
      </c>
      <c r="F204" s="517" t="s">
        <v>1469</v>
      </c>
      <c r="G204" s="524">
        <v>0</v>
      </c>
      <c r="H204" s="528">
        <v>0</v>
      </c>
      <c r="I204" s="520">
        <f t="shared" si="20"/>
        <v>1454.66</v>
      </c>
      <c r="J204" s="521">
        <v>1454.66</v>
      </c>
      <c r="K204" s="522">
        <f t="shared" si="18"/>
        <v>1745.592</v>
      </c>
      <c r="L204" s="1"/>
      <c r="M204" s="1"/>
      <c r="N204" s="1"/>
      <c r="O204" s="1"/>
      <c r="P204" s="1"/>
    </row>
    <row r="205" spans="1:16" ht="26.25">
      <c r="A205" s="513" t="str">
        <f t="shared" si="19"/>
        <v>K .</v>
      </c>
      <c r="B205" s="514" t="s">
        <v>622</v>
      </c>
      <c r="C205" s="515" t="s">
        <v>1029</v>
      </c>
      <c r="D205" s="516" t="s">
        <v>1030</v>
      </c>
      <c r="E205" s="555" t="s">
        <v>1031</v>
      </c>
      <c r="F205" s="517" t="s">
        <v>1469</v>
      </c>
      <c r="G205" s="524">
        <v>0</v>
      </c>
      <c r="H205" s="528">
        <v>0</v>
      </c>
      <c r="I205" s="520">
        <f t="shared" si="20"/>
        <v>1178.98</v>
      </c>
      <c r="J205" s="521">
        <v>1178.98</v>
      </c>
      <c r="K205" s="522">
        <f t="shared" si="18"/>
        <v>1414.776</v>
      </c>
      <c r="L205" s="1"/>
      <c r="M205" s="1"/>
      <c r="N205" s="1"/>
      <c r="O205" s="1"/>
      <c r="P205" s="1"/>
    </row>
    <row r="206" spans="1:16" ht="78.75">
      <c r="A206" s="513" t="str">
        <f t="shared" si="19"/>
        <v>K .</v>
      </c>
      <c r="B206" s="514" t="s">
        <v>625</v>
      </c>
      <c r="C206" s="515" t="s">
        <v>1032</v>
      </c>
      <c r="D206" s="516" t="s">
        <v>1033</v>
      </c>
      <c r="E206" s="555" t="s">
        <v>1034</v>
      </c>
      <c r="F206" s="517" t="s">
        <v>1469</v>
      </c>
      <c r="G206" s="524">
        <v>0</v>
      </c>
      <c r="H206" s="528">
        <v>0</v>
      </c>
      <c r="I206" s="520">
        <f t="shared" si="20"/>
        <v>1108.59</v>
      </c>
      <c r="J206" s="521">
        <v>1108.59</v>
      </c>
      <c r="K206" s="522">
        <f t="shared" si="18"/>
        <v>1330.3079999999998</v>
      </c>
      <c r="L206" s="1"/>
      <c r="M206" s="1"/>
      <c r="N206" s="1"/>
      <c r="O206" s="1"/>
      <c r="P206" s="1"/>
    </row>
    <row r="207" spans="1:16" ht="78.75">
      <c r="A207" s="513" t="str">
        <f t="shared" si="19"/>
        <v>K .</v>
      </c>
      <c r="B207" s="514" t="s">
        <v>628</v>
      </c>
      <c r="C207" s="515" t="s">
        <v>1035</v>
      </c>
      <c r="D207" s="516" t="s">
        <v>1036</v>
      </c>
      <c r="E207" s="555" t="s">
        <v>1037</v>
      </c>
      <c r="F207" s="517" t="s">
        <v>1469</v>
      </c>
      <c r="G207" s="524">
        <v>0</v>
      </c>
      <c r="H207" s="528">
        <v>0</v>
      </c>
      <c r="I207" s="520">
        <f t="shared" si="20"/>
        <v>926.76</v>
      </c>
      <c r="J207" s="521">
        <v>926.76</v>
      </c>
      <c r="K207" s="522">
        <f t="shared" si="18"/>
        <v>1112.1119999999999</v>
      </c>
      <c r="L207" s="1"/>
      <c r="M207" s="1"/>
      <c r="N207" s="1"/>
      <c r="O207" s="1"/>
      <c r="P207" s="1"/>
    </row>
    <row r="208" spans="1:16" ht="78.75">
      <c r="A208" s="513" t="str">
        <f t="shared" si="19"/>
        <v>K .</v>
      </c>
      <c r="B208" s="514" t="s">
        <v>630</v>
      </c>
      <c r="C208" s="515" t="s">
        <v>1038</v>
      </c>
      <c r="D208" s="516" t="s">
        <v>1039</v>
      </c>
      <c r="E208" s="555" t="s">
        <v>1040</v>
      </c>
      <c r="F208" s="517" t="s">
        <v>1469</v>
      </c>
      <c r="G208" s="524">
        <v>0</v>
      </c>
      <c r="H208" s="528">
        <v>0</v>
      </c>
      <c r="I208" s="520">
        <f t="shared" si="20"/>
        <v>375.4</v>
      </c>
      <c r="J208" s="521">
        <v>375.4</v>
      </c>
      <c r="K208" s="522">
        <f t="shared" si="18"/>
        <v>450.47999999999996</v>
      </c>
      <c r="L208" s="1"/>
      <c r="M208" s="1"/>
      <c r="N208" s="1"/>
      <c r="O208" s="1"/>
      <c r="P208" s="1"/>
    </row>
    <row r="209" spans="1:16" ht="78.75">
      <c r="A209" s="513" t="str">
        <f t="shared" si="19"/>
        <v>K .</v>
      </c>
      <c r="B209" s="514" t="s">
        <v>633</v>
      </c>
      <c r="C209" s="515" t="s">
        <v>1041</v>
      </c>
      <c r="D209" s="516" t="s">
        <v>1042</v>
      </c>
      <c r="E209" s="555" t="s">
        <v>1043</v>
      </c>
      <c r="F209" s="517" t="s">
        <v>1469</v>
      </c>
      <c r="G209" s="524">
        <v>0</v>
      </c>
      <c r="H209" s="528">
        <v>0</v>
      </c>
      <c r="I209" s="520">
        <f t="shared" si="20"/>
        <v>434.05</v>
      </c>
      <c r="J209" s="521">
        <v>434.05</v>
      </c>
      <c r="K209" s="522">
        <f t="shared" si="18"/>
        <v>520.86</v>
      </c>
      <c r="L209" s="1"/>
      <c r="M209" s="1"/>
      <c r="N209" s="1"/>
      <c r="O209" s="1"/>
      <c r="P209" s="1"/>
    </row>
    <row r="210" spans="1:16" ht="78.75">
      <c r="A210" s="513" t="str">
        <f t="shared" si="19"/>
        <v>K .</v>
      </c>
      <c r="B210" s="514" t="s">
        <v>635</v>
      </c>
      <c r="C210" s="515" t="s">
        <v>1044</v>
      </c>
      <c r="D210" s="516" t="s">
        <v>1045</v>
      </c>
      <c r="E210" s="555" t="s">
        <v>1046</v>
      </c>
      <c r="F210" s="517" t="s">
        <v>1469</v>
      </c>
      <c r="G210" s="524">
        <v>0</v>
      </c>
      <c r="H210" s="528">
        <v>0</v>
      </c>
      <c r="I210" s="520">
        <f t="shared" si="20"/>
        <v>862.24</v>
      </c>
      <c r="J210" s="558">
        <v>862.24</v>
      </c>
      <c r="K210" s="559">
        <f t="shared" si="18"/>
        <v>1034.6879999999999</v>
      </c>
      <c r="L210" s="1"/>
      <c r="M210" s="1"/>
      <c r="N210" s="1"/>
      <c r="O210" s="1"/>
      <c r="P210" s="1"/>
    </row>
    <row r="211" spans="1:16" ht="26.25">
      <c r="A211" s="513" t="str">
        <f t="shared" si="19"/>
        <v>K .</v>
      </c>
      <c r="B211" s="514" t="s">
        <v>679</v>
      </c>
      <c r="C211" s="515" t="s">
        <v>1047</v>
      </c>
      <c r="D211" s="516" t="s">
        <v>1048</v>
      </c>
      <c r="E211" s="555" t="s">
        <v>1049</v>
      </c>
      <c r="F211" s="517" t="s">
        <v>1469</v>
      </c>
      <c r="G211" s="524">
        <v>0</v>
      </c>
      <c r="H211" s="528">
        <v>0</v>
      </c>
      <c r="I211" s="520">
        <f t="shared" si="20"/>
        <v>340.2</v>
      </c>
      <c r="J211" s="521">
        <v>340.2</v>
      </c>
      <c r="K211" s="522">
        <f t="shared" si="18"/>
        <v>408.23999999999995</v>
      </c>
      <c r="L211" s="1"/>
      <c r="M211" s="1"/>
      <c r="N211" s="1"/>
      <c r="O211" s="1"/>
      <c r="P211" s="1"/>
    </row>
    <row r="212" spans="1:16" ht="52.5">
      <c r="A212" s="513" t="str">
        <f t="shared" si="19"/>
        <v>K .</v>
      </c>
      <c r="B212" s="514" t="s">
        <v>683</v>
      </c>
      <c r="C212" s="515" t="s">
        <v>1050</v>
      </c>
      <c r="D212" s="516" t="s">
        <v>1051</v>
      </c>
      <c r="E212" s="555" t="s">
        <v>1052</v>
      </c>
      <c r="F212" s="517" t="s">
        <v>1469</v>
      </c>
      <c r="G212" s="524">
        <v>0</v>
      </c>
      <c r="H212" s="528">
        <v>0</v>
      </c>
      <c r="I212" s="520">
        <f t="shared" si="20"/>
        <v>434.05</v>
      </c>
      <c r="J212" s="521">
        <v>434.05</v>
      </c>
      <c r="K212" s="522">
        <f t="shared" si="18"/>
        <v>520.86</v>
      </c>
      <c r="L212" s="1"/>
      <c r="M212" s="1"/>
      <c r="N212" s="1"/>
      <c r="O212" s="1"/>
      <c r="P212" s="1"/>
    </row>
    <row r="213" spans="1:16" ht="52.5">
      <c r="A213" s="513" t="str">
        <f t="shared" si="19"/>
        <v>K .</v>
      </c>
      <c r="B213" s="514" t="s">
        <v>687</v>
      </c>
      <c r="C213" s="515" t="s">
        <v>1053</v>
      </c>
      <c r="D213" s="516" t="s">
        <v>1054</v>
      </c>
      <c r="E213" s="555" t="s">
        <v>1055</v>
      </c>
      <c r="F213" s="517" t="s">
        <v>1469</v>
      </c>
      <c r="G213" s="524">
        <v>0</v>
      </c>
      <c r="H213" s="528">
        <v>0</v>
      </c>
      <c r="I213" s="520">
        <f t="shared" si="20"/>
        <v>434.05</v>
      </c>
      <c r="J213" s="521">
        <v>434.05</v>
      </c>
      <c r="K213" s="522">
        <f t="shared" si="18"/>
        <v>520.86</v>
      </c>
      <c r="L213" s="1"/>
      <c r="M213" s="1"/>
      <c r="N213" s="1"/>
      <c r="O213" s="1"/>
      <c r="P213" s="1"/>
    </row>
    <row r="214" spans="1:16" ht="52.5">
      <c r="A214" s="513" t="str">
        <f t="shared" si="19"/>
        <v>K .</v>
      </c>
      <c r="B214" s="514" t="s">
        <v>691</v>
      </c>
      <c r="C214" s="515" t="s">
        <v>1056</v>
      </c>
      <c r="D214" s="516" t="s">
        <v>1057</v>
      </c>
      <c r="E214" s="555" t="s">
        <v>1058</v>
      </c>
      <c r="F214" s="523" t="s">
        <v>1059</v>
      </c>
      <c r="G214" s="524">
        <v>0</v>
      </c>
      <c r="H214" s="528">
        <v>0</v>
      </c>
      <c r="I214" s="520">
        <f t="shared" si="20"/>
        <v>1266.96</v>
      </c>
      <c r="J214" s="521">
        <v>1266.96</v>
      </c>
      <c r="K214" s="522">
        <f t="shared" si="18"/>
        <v>1520.352</v>
      </c>
      <c r="L214" s="1"/>
      <c r="M214" s="1"/>
      <c r="N214" s="1"/>
      <c r="O214" s="1"/>
      <c r="P214" s="1"/>
    </row>
    <row r="215" spans="1:16" ht="26.25">
      <c r="A215" s="575"/>
      <c r="B215" s="562"/>
      <c r="C215" s="563"/>
      <c r="D215" s="564"/>
      <c r="E215" s="632"/>
      <c r="F215" s="535"/>
      <c r="G215" s="536"/>
      <c r="H215" s="537"/>
      <c r="I215" s="538"/>
      <c r="J215" s="569"/>
      <c r="K215" s="570"/>
      <c r="L215" s="1"/>
      <c r="M215" s="1"/>
      <c r="N215" s="1"/>
      <c r="O215" s="1"/>
      <c r="P215" s="1"/>
    </row>
    <row r="216" spans="1:16" ht="27" thickBot="1">
      <c r="A216" s="829" t="s">
        <v>1060</v>
      </c>
      <c r="B216" s="830"/>
      <c r="C216" s="495"/>
      <c r="D216" s="496" t="s">
        <v>1061</v>
      </c>
      <c r="E216" s="742" t="s">
        <v>1062</v>
      </c>
      <c r="F216" s="497"/>
      <c r="G216" s="541"/>
      <c r="H216" s="542"/>
      <c r="I216" s="543"/>
      <c r="J216" s="544"/>
      <c r="K216" s="545"/>
      <c r="L216" s="1"/>
      <c r="M216" s="1"/>
      <c r="N216" s="1"/>
      <c r="O216" s="1"/>
      <c r="P216" s="1"/>
    </row>
    <row r="217" spans="1:16" ht="26.25">
      <c r="A217" s="503"/>
      <c r="B217" s="546"/>
      <c r="C217" s="547"/>
      <c r="D217" s="548"/>
      <c r="E217" s="743"/>
      <c r="F217" s="549"/>
      <c r="G217" s="550"/>
      <c r="H217" s="551"/>
      <c r="I217" s="552"/>
      <c r="J217" s="553"/>
      <c r="K217" s="554"/>
      <c r="L217" s="1"/>
      <c r="M217" s="1"/>
      <c r="N217" s="1"/>
      <c r="O217" s="1"/>
      <c r="P217" s="1"/>
    </row>
    <row r="218" spans="1:16" ht="52.5">
      <c r="A218" s="513" t="str">
        <f>+A216</f>
        <v>L .</v>
      </c>
      <c r="B218" s="514" t="s">
        <v>594</v>
      </c>
      <c r="C218" s="515" t="s">
        <v>1063</v>
      </c>
      <c r="D218" s="516" t="s">
        <v>1064</v>
      </c>
      <c r="E218" s="576" t="s">
        <v>1065</v>
      </c>
      <c r="F218" s="523" t="s">
        <v>1066</v>
      </c>
      <c r="G218" s="524">
        <v>0</v>
      </c>
      <c r="H218" s="528">
        <v>0</v>
      </c>
      <c r="I218" s="520">
        <f aca="true" t="shared" si="21" ref="I218:I252">+J218-(G218+H218)</f>
        <v>7036.71</v>
      </c>
      <c r="J218" s="521">
        <v>7036.71</v>
      </c>
      <c r="K218" s="522">
        <f aca="true" t="shared" si="22" ref="K218:K252">+$K218*$L$5</f>
        <v>8444.052</v>
      </c>
      <c r="L218" s="1"/>
      <c r="M218" s="1"/>
      <c r="N218" s="1"/>
      <c r="O218" s="1"/>
      <c r="P218" s="1"/>
    </row>
    <row r="219" spans="1:16" ht="52.5">
      <c r="A219" s="513" t="str">
        <f>+A218</f>
        <v>L .</v>
      </c>
      <c r="B219" s="514" t="s">
        <v>598</v>
      </c>
      <c r="C219" s="515" t="s">
        <v>1067</v>
      </c>
      <c r="D219" s="516" t="s">
        <v>1068</v>
      </c>
      <c r="E219" s="576" t="s">
        <v>1069</v>
      </c>
      <c r="F219" s="523" t="s">
        <v>1066</v>
      </c>
      <c r="G219" s="524">
        <v>0</v>
      </c>
      <c r="H219" s="528">
        <v>0</v>
      </c>
      <c r="I219" s="520">
        <f t="shared" si="21"/>
        <v>8332.63</v>
      </c>
      <c r="J219" s="521">
        <v>8332.63</v>
      </c>
      <c r="K219" s="522">
        <f t="shared" si="22"/>
        <v>9999.155999999999</v>
      </c>
      <c r="L219" s="1"/>
      <c r="M219" s="1"/>
      <c r="N219" s="1"/>
      <c r="O219" s="1"/>
      <c r="P219" s="1"/>
    </row>
    <row r="220" spans="1:16" ht="26.25">
      <c r="A220" s="513" t="str">
        <f aca="true" t="shared" si="23" ref="A220:A252">+A219</f>
        <v>L .</v>
      </c>
      <c r="B220" s="514" t="s">
        <v>603</v>
      </c>
      <c r="C220" s="515" t="s">
        <v>1070</v>
      </c>
      <c r="D220" s="516" t="s">
        <v>1071</v>
      </c>
      <c r="E220" s="576" t="s">
        <v>1072</v>
      </c>
      <c r="F220" s="523" t="s">
        <v>1066</v>
      </c>
      <c r="G220" s="524">
        <v>0</v>
      </c>
      <c r="H220" s="528">
        <v>0</v>
      </c>
      <c r="I220" s="520">
        <f t="shared" si="21"/>
        <v>6138.71</v>
      </c>
      <c r="J220" s="521">
        <v>6138.71</v>
      </c>
      <c r="K220" s="522">
        <f t="shared" si="22"/>
        <v>7366.452</v>
      </c>
      <c r="L220" s="1"/>
      <c r="M220" s="1"/>
      <c r="N220" s="1"/>
      <c r="O220" s="1"/>
      <c r="P220" s="1"/>
    </row>
    <row r="221" spans="1:16" ht="26.25">
      <c r="A221" s="513" t="str">
        <f t="shared" si="23"/>
        <v>L .</v>
      </c>
      <c r="B221" s="514" t="s">
        <v>607</v>
      </c>
      <c r="C221" s="515" t="s">
        <v>1073</v>
      </c>
      <c r="D221" s="516" t="s">
        <v>1074</v>
      </c>
      <c r="E221" s="576" t="s">
        <v>1075</v>
      </c>
      <c r="F221" s="523" t="s">
        <v>1066</v>
      </c>
      <c r="G221" s="524">
        <v>0</v>
      </c>
      <c r="H221" s="528">
        <v>0</v>
      </c>
      <c r="I221" s="520">
        <f t="shared" si="21"/>
        <v>8045.35</v>
      </c>
      <c r="J221" s="521">
        <v>8045.35</v>
      </c>
      <c r="K221" s="522">
        <f t="shared" si="22"/>
        <v>9654.42</v>
      </c>
      <c r="L221" s="1"/>
      <c r="M221" s="1"/>
      <c r="N221" s="1"/>
      <c r="O221" s="1"/>
      <c r="P221" s="1"/>
    </row>
    <row r="222" spans="1:16" ht="52.5">
      <c r="A222" s="513" t="str">
        <f t="shared" si="23"/>
        <v>L .</v>
      </c>
      <c r="B222" s="514" t="s">
        <v>612</v>
      </c>
      <c r="C222" s="515" t="s">
        <v>1076</v>
      </c>
      <c r="D222" s="516" t="s">
        <v>1077</v>
      </c>
      <c r="E222" s="576" t="s">
        <v>1078</v>
      </c>
      <c r="F222" s="523" t="s">
        <v>1066</v>
      </c>
      <c r="G222" s="524">
        <v>0</v>
      </c>
      <c r="H222" s="528">
        <v>0</v>
      </c>
      <c r="I222" s="520">
        <f t="shared" si="21"/>
        <v>8574.17</v>
      </c>
      <c r="J222" s="521">
        <v>8574.17</v>
      </c>
      <c r="K222" s="522">
        <f t="shared" si="22"/>
        <v>10289.003999999999</v>
      </c>
      <c r="L222" s="1"/>
      <c r="M222" s="1"/>
      <c r="N222" s="1"/>
      <c r="O222" s="1"/>
      <c r="P222" s="1"/>
    </row>
    <row r="223" spans="1:16" ht="52.5">
      <c r="A223" s="513" t="str">
        <f t="shared" si="23"/>
        <v>L .</v>
      </c>
      <c r="B223" s="514" t="s">
        <v>616</v>
      </c>
      <c r="C223" s="526"/>
      <c r="D223" s="527"/>
      <c r="E223" s="578" t="s">
        <v>1079</v>
      </c>
      <c r="F223" s="517" t="s">
        <v>1066</v>
      </c>
      <c r="G223" s="524">
        <v>0</v>
      </c>
      <c r="H223" s="528">
        <v>0</v>
      </c>
      <c r="I223" s="520">
        <f t="shared" si="21"/>
        <v>6850</v>
      </c>
      <c r="J223" s="529">
        <v>6850</v>
      </c>
      <c r="K223" s="530">
        <f t="shared" si="22"/>
        <v>8220</v>
      </c>
      <c r="L223" s="1"/>
      <c r="M223" s="1"/>
      <c r="N223" s="1"/>
      <c r="O223" s="1"/>
      <c r="P223" s="1"/>
    </row>
    <row r="224" spans="1:16" ht="26.25">
      <c r="A224" s="513" t="str">
        <f t="shared" si="23"/>
        <v>L .</v>
      </c>
      <c r="B224" s="514" t="s">
        <v>619</v>
      </c>
      <c r="C224" s="515" t="s">
        <v>1080</v>
      </c>
      <c r="D224" s="516" t="s">
        <v>1081</v>
      </c>
      <c r="E224" s="576" t="s">
        <v>1082</v>
      </c>
      <c r="F224" s="523" t="s">
        <v>1066</v>
      </c>
      <c r="G224" s="524">
        <v>0</v>
      </c>
      <c r="H224" s="528">
        <v>0</v>
      </c>
      <c r="I224" s="520">
        <f t="shared" si="21"/>
        <v>8576.96</v>
      </c>
      <c r="J224" s="521">
        <v>8576.96</v>
      </c>
      <c r="K224" s="522">
        <f t="shared" si="22"/>
        <v>10292.351999999999</v>
      </c>
      <c r="L224" s="1"/>
      <c r="M224" s="1"/>
      <c r="N224" s="1"/>
      <c r="O224" s="1"/>
      <c r="P224" s="1"/>
    </row>
    <row r="225" spans="1:16" ht="52.5">
      <c r="A225" s="513" t="str">
        <f t="shared" si="23"/>
        <v>L .</v>
      </c>
      <c r="B225" s="514" t="s">
        <v>622</v>
      </c>
      <c r="C225" s="515" t="s">
        <v>1083</v>
      </c>
      <c r="D225" s="516" t="s">
        <v>1084</v>
      </c>
      <c r="E225" s="576" t="s">
        <v>1085</v>
      </c>
      <c r="F225" s="523" t="s">
        <v>1066</v>
      </c>
      <c r="G225" s="524">
        <v>0</v>
      </c>
      <c r="H225" s="528">
        <v>0</v>
      </c>
      <c r="I225" s="520">
        <f t="shared" si="21"/>
        <v>6615.34</v>
      </c>
      <c r="J225" s="521">
        <v>6615.34</v>
      </c>
      <c r="K225" s="522">
        <f t="shared" si="22"/>
        <v>7938.407999999999</v>
      </c>
      <c r="L225" s="1"/>
      <c r="M225" s="1"/>
      <c r="N225" s="1"/>
      <c r="O225" s="1"/>
      <c r="P225" s="1"/>
    </row>
    <row r="226" spans="1:16" ht="26.25">
      <c r="A226" s="513" t="str">
        <f t="shared" si="23"/>
        <v>L .</v>
      </c>
      <c r="B226" s="514" t="s">
        <v>625</v>
      </c>
      <c r="C226" s="515" t="s">
        <v>1086</v>
      </c>
      <c r="D226" s="516" t="s">
        <v>1087</v>
      </c>
      <c r="E226" s="576" t="s">
        <v>1088</v>
      </c>
      <c r="F226" s="523" t="s">
        <v>1066</v>
      </c>
      <c r="G226" s="524">
        <v>0</v>
      </c>
      <c r="H226" s="528">
        <v>0</v>
      </c>
      <c r="I226" s="520">
        <f t="shared" si="21"/>
        <v>4200</v>
      </c>
      <c r="J226" s="521">
        <v>4200</v>
      </c>
      <c r="K226" s="522">
        <f t="shared" si="22"/>
        <v>5040</v>
      </c>
      <c r="L226" s="1"/>
      <c r="M226" s="1"/>
      <c r="N226" s="1"/>
      <c r="O226" s="1"/>
      <c r="P226" s="1"/>
    </row>
    <row r="227" spans="1:16" ht="26.25">
      <c r="A227" s="513" t="str">
        <f t="shared" si="23"/>
        <v>L .</v>
      </c>
      <c r="B227" s="514" t="s">
        <v>628</v>
      </c>
      <c r="C227" s="633" t="s">
        <v>1089</v>
      </c>
      <c r="D227" s="516" t="s">
        <v>1090</v>
      </c>
      <c r="E227" s="576" t="s">
        <v>1091</v>
      </c>
      <c r="F227" s="523" t="s">
        <v>1066</v>
      </c>
      <c r="G227" s="524">
        <v>0</v>
      </c>
      <c r="H227" s="528">
        <v>0</v>
      </c>
      <c r="I227" s="520">
        <f t="shared" si="21"/>
        <v>10500</v>
      </c>
      <c r="J227" s="521">
        <v>10500</v>
      </c>
      <c r="K227" s="522">
        <f t="shared" si="22"/>
        <v>12600</v>
      </c>
      <c r="L227" s="1"/>
      <c r="M227" s="1"/>
      <c r="N227" s="1"/>
      <c r="O227" s="1"/>
      <c r="P227" s="1"/>
    </row>
    <row r="228" spans="1:16" ht="26.25">
      <c r="A228" s="513" t="str">
        <f t="shared" si="23"/>
        <v>L .</v>
      </c>
      <c r="B228" s="514" t="s">
        <v>630</v>
      </c>
      <c r="C228" s="515" t="s">
        <v>1092</v>
      </c>
      <c r="D228" s="516" t="s">
        <v>1093</v>
      </c>
      <c r="E228" s="576" t="s">
        <v>1094</v>
      </c>
      <c r="F228" s="523" t="s">
        <v>1066</v>
      </c>
      <c r="G228" s="524">
        <v>0</v>
      </c>
      <c r="H228" s="528">
        <v>0</v>
      </c>
      <c r="I228" s="520">
        <f t="shared" si="21"/>
        <v>9500</v>
      </c>
      <c r="J228" s="521">
        <v>9500</v>
      </c>
      <c r="K228" s="522">
        <f t="shared" si="22"/>
        <v>11400</v>
      </c>
      <c r="L228" s="1"/>
      <c r="M228" s="1"/>
      <c r="N228" s="1"/>
      <c r="O228" s="1"/>
      <c r="P228" s="1"/>
    </row>
    <row r="229" spans="1:16" ht="26.25">
      <c r="A229" s="513" t="str">
        <f t="shared" si="23"/>
        <v>L .</v>
      </c>
      <c r="B229" s="514" t="s">
        <v>633</v>
      </c>
      <c r="C229" s="515" t="s">
        <v>1095</v>
      </c>
      <c r="D229" s="516" t="s">
        <v>1096</v>
      </c>
      <c r="E229" s="576" t="s">
        <v>1097</v>
      </c>
      <c r="F229" s="523" t="s">
        <v>1066</v>
      </c>
      <c r="G229" s="524">
        <v>0</v>
      </c>
      <c r="H229" s="528">
        <v>0</v>
      </c>
      <c r="I229" s="520">
        <f t="shared" si="21"/>
        <v>9300</v>
      </c>
      <c r="J229" s="521">
        <v>9300</v>
      </c>
      <c r="K229" s="522">
        <f t="shared" si="22"/>
        <v>11160</v>
      </c>
      <c r="L229" s="1"/>
      <c r="M229" s="1"/>
      <c r="N229" s="1"/>
      <c r="O229" s="1"/>
      <c r="P229" s="1"/>
    </row>
    <row r="230" spans="1:16" ht="26.25">
      <c r="A230" s="513" t="str">
        <f t="shared" si="23"/>
        <v>L .</v>
      </c>
      <c r="B230" s="514" t="s">
        <v>635</v>
      </c>
      <c r="C230" s="515" t="s">
        <v>1098</v>
      </c>
      <c r="D230" s="516" t="s">
        <v>1099</v>
      </c>
      <c r="E230" s="576" t="s">
        <v>1100</v>
      </c>
      <c r="F230" s="523" t="s">
        <v>1066</v>
      </c>
      <c r="G230" s="524">
        <v>0</v>
      </c>
      <c r="H230" s="528">
        <v>0</v>
      </c>
      <c r="I230" s="520">
        <f t="shared" si="21"/>
        <v>8500</v>
      </c>
      <c r="J230" s="521">
        <v>8500</v>
      </c>
      <c r="K230" s="522">
        <f t="shared" si="22"/>
        <v>10200</v>
      </c>
      <c r="L230" s="1"/>
      <c r="M230" s="1"/>
      <c r="N230" s="1"/>
      <c r="O230" s="1"/>
      <c r="P230" s="1"/>
    </row>
    <row r="231" spans="1:16" ht="26.25">
      <c r="A231" s="513" t="str">
        <f t="shared" si="23"/>
        <v>L .</v>
      </c>
      <c r="B231" s="514" t="s">
        <v>679</v>
      </c>
      <c r="C231" s="515" t="s">
        <v>1101</v>
      </c>
      <c r="D231" s="516" t="s">
        <v>1102</v>
      </c>
      <c r="E231" s="576" t="s">
        <v>1103</v>
      </c>
      <c r="F231" s="523" t="s">
        <v>1066</v>
      </c>
      <c r="G231" s="524">
        <v>0</v>
      </c>
      <c r="H231" s="528">
        <v>0</v>
      </c>
      <c r="I231" s="520">
        <f t="shared" si="21"/>
        <v>8528.81</v>
      </c>
      <c r="J231" s="521">
        <v>8528.81</v>
      </c>
      <c r="K231" s="522">
        <f t="shared" si="22"/>
        <v>10234.571999999998</v>
      </c>
      <c r="L231" s="1"/>
      <c r="M231" s="1"/>
      <c r="N231" s="1"/>
      <c r="O231" s="1"/>
      <c r="P231" s="1"/>
    </row>
    <row r="232" spans="1:16" ht="52.5">
      <c r="A232" s="513" t="str">
        <f t="shared" si="23"/>
        <v>L .</v>
      </c>
      <c r="B232" s="514" t="s">
        <v>683</v>
      </c>
      <c r="C232" s="515" t="s">
        <v>1104</v>
      </c>
      <c r="D232" s="516" t="s">
        <v>1105</v>
      </c>
      <c r="E232" s="576" t="s">
        <v>1106</v>
      </c>
      <c r="F232" s="523" t="s">
        <v>1066</v>
      </c>
      <c r="G232" s="524">
        <v>0</v>
      </c>
      <c r="H232" s="528">
        <v>0</v>
      </c>
      <c r="I232" s="520">
        <f t="shared" si="21"/>
        <v>4110.48</v>
      </c>
      <c r="J232" s="521">
        <v>4110.48</v>
      </c>
      <c r="K232" s="522">
        <f t="shared" si="22"/>
        <v>4932.575999999999</v>
      </c>
      <c r="L232" s="1"/>
      <c r="M232" s="1"/>
      <c r="N232" s="1"/>
      <c r="O232" s="1"/>
      <c r="P232" s="1"/>
    </row>
    <row r="233" spans="1:16" ht="26.25">
      <c r="A233" s="513" t="str">
        <f t="shared" si="23"/>
        <v>L .</v>
      </c>
      <c r="B233" s="514" t="s">
        <v>687</v>
      </c>
      <c r="C233" s="526"/>
      <c r="D233" s="527"/>
      <c r="E233" s="578" t="s">
        <v>1107</v>
      </c>
      <c r="F233" s="517" t="s">
        <v>1066</v>
      </c>
      <c r="G233" s="524">
        <v>0</v>
      </c>
      <c r="H233" s="528">
        <v>0</v>
      </c>
      <c r="I233" s="520">
        <f t="shared" si="21"/>
        <v>3650</v>
      </c>
      <c r="J233" s="529">
        <v>3650</v>
      </c>
      <c r="K233" s="530">
        <f t="shared" si="22"/>
        <v>4380</v>
      </c>
      <c r="L233" s="1"/>
      <c r="M233" s="1"/>
      <c r="N233" s="1"/>
      <c r="O233" s="1"/>
      <c r="P233" s="1"/>
    </row>
    <row r="234" spans="1:16" ht="52.5">
      <c r="A234" s="513" t="str">
        <f t="shared" si="23"/>
        <v>L .</v>
      </c>
      <c r="B234" s="514" t="s">
        <v>691</v>
      </c>
      <c r="C234" s="515" t="s">
        <v>1108</v>
      </c>
      <c r="D234" s="516" t="s">
        <v>1109</v>
      </c>
      <c r="E234" s="576" t="s">
        <v>1110</v>
      </c>
      <c r="F234" s="523" t="s">
        <v>1066</v>
      </c>
      <c r="G234" s="524">
        <v>0</v>
      </c>
      <c r="H234" s="528">
        <v>0</v>
      </c>
      <c r="I234" s="520">
        <f t="shared" si="21"/>
        <v>4875.04</v>
      </c>
      <c r="J234" s="521">
        <v>4875.04</v>
      </c>
      <c r="K234" s="522">
        <f t="shared" si="22"/>
        <v>5850.048</v>
      </c>
      <c r="L234" s="1"/>
      <c r="M234" s="1"/>
      <c r="N234" s="1"/>
      <c r="O234" s="1"/>
      <c r="P234" s="1"/>
    </row>
    <row r="235" spans="1:16" ht="52.5">
      <c r="A235" s="513" t="str">
        <f t="shared" si="23"/>
        <v>L .</v>
      </c>
      <c r="B235" s="514" t="s">
        <v>695</v>
      </c>
      <c r="C235" s="515" t="s">
        <v>1111</v>
      </c>
      <c r="D235" s="516" t="s">
        <v>1112</v>
      </c>
      <c r="E235" s="576" t="s">
        <v>1113</v>
      </c>
      <c r="F235" s="523" t="s">
        <v>1066</v>
      </c>
      <c r="G235" s="524">
        <v>0</v>
      </c>
      <c r="H235" s="528">
        <v>0</v>
      </c>
      <c r="I235" s="520">
        <f t="shared" si="21"/>
        <v>3244.57</v>
      </c>
      <c r="J235" s="521">
        <v>3244.57</v>
      </c>
      <c r="K235" s="522">
        <f t="shared" si="22"/>
        <v>3893.484</v>
      </c>
      <c r="L235" s="1"/>
      <c r="M235" s="1"/>
      <c r="N235" s="1"/>
      <c r="O235" s="1"/>
      <c r="P235" s="1"/>
    </row>
    <row r="236" spans="1:16" ht="52.5">
      <c r="A236" s="513" t="str">
        <f t="shared" si="23"/>
        <v>L .</v>
      </c>
      <c r="B236" s="514" t="s">
        <v>699</v>
      </c>
      <c r="C236" s="515" t="s">
        <v>1114</v>
      </c>
      <c r="D236" s="516" t="s">
        <v>1115</v>
      </c>
      <c r="E236" s="576" t="s">
        <v>1116</v>
      </c>
      <c r="F236" s="523" t="s">
        <v>1066</v>
      </c>
      <c r="G236" s="524">
        <v>0</v>
      </c>
      <c r="H236" s="528">
        <v>0</v>
      </c>
      <c r="I236" s="520">
        <f t="shared" si="21"/>
        <v>3978.8</v>
      </c>
      <c r="J236" s="521">
        <v>3978.8</v>
      </c>
      <c r="K236" s="522">
        <f t="shared" si="22"/>
        <v>4774.56</v>
      </c>
      <c r="L236" s="1"/>
      <c r="M236" s="1"/>
      <c r="N236" s="1"/>
      <c r="O236" s="1"/>
      <c r="P236" s="1"/>
    </row>
    <row r="237" spans="1:16" ht="26.25">
      <c r="A237" s="513" t="str">
        <f t="shared" si="23"/>
        <v>L .</v>
      </c>
      <c r="B237" s="514" t="s">
        <v>703</v>
      </c>
      <c r="C237" s="515" t="s">
        <v>1117</v>
      </c>
      <c r="D237" s="516" t="s">
        <v>1118</v>
      </c>
      <c r="E237" s="576" t="s">
        <v>1119</v>
      </c>
      <c r="F237" s="523" t="s">
        <v>1066</v>
      </c>
      <c r="G237" s="524">
        <v>0</v>
      </c>
      <c r="H237" s="528">
        <v>0</v>
      </c>
      <c r="I237" s="520">
        <f t="shared" si="21"/>
        <v>11500</v>
      </c>
      <c r="J237" s="521">
        <v>11500</v>
      </c>
      <c r="K237" s="522">
        <f t="shared" si="22"/>
        <v>13800</v>
      </c>
      <c r="L237" s="1"/>
      <c r="M237" s="1"/>
      <c r="N237" s="1"/>
      <c r="O237" s="1"/>
      <c r="P237" s="1"/>
    </row>
    <row r="238" spans="1:16" ht="52.5">
      <c r="A238" s="513" t="str">
        <f t="shared" si="23"/>
        <v>L .</v>
      </c>
      <c r="B238" s="514" t="s">
        <v>707</v>
      </c>
      <c r="C238" s="515" t="s">
        <v>1120</v>
      </c>
      <c r="D238" s="516" t="s">
        <v>1121</v>
      </c>
      <c r="E238" s="576" t="s">
        <v>1122</v>
      </c>
      <c r="F238" s="523" t="s">
        <v>1066</v>
      </c>
      <c r="G238" s="524">
        <v>0</v>
      </c>
      <c r="H238" s="528">
        <v>0</v>
      </c>
      <c r="I238" s="520">
        <f t="shared" si="21"/>
        <v>5000</v>
      </c>
      <c r="J238" s="521">
        <v>5000</v>
      </c>
      <c r="K238" s="522">
        <f t="shared" si="22"/>
        <v>6000</v>
      </c>
      <c r="L238" s="1"/>
      <c r="M238" s="1"/>
      <c r="N238" s="1"/>
      <c r="O238" s="1"/>
      <c r="P238" s="1"/>
    </row>
    <row r="239" spans="1:16" ht="26.25">
      <c r="A239" s="513" t="str">
        <f t="shared" si="23"/>
        <v>L .</v>
      </c>
      <c r="B239" s="514" t="s">
        <v>711</v>
      </c>
      <c r="C239" s="515" t="s">
        <v>1123</v>
      </c>
      <c r="D239" s="516" t="s">
        <v>1124</v>
      </c>
      <c r="E239" s="576" t="s">
        <v>1125</v>
      </c>
      <c r="F239" s="523" t="s">
        <v>1066</v>
      </c>
      <c r="G239" s="524">
        <v>0</v>
      </c>
      <c r="H239" s="528">
        <v>0</v>
      </c>
      <c r="I239" s="520">
        <f t="shared" si="21"/>
        <v>5800</v>
      </c>
      <c r="J239" s="521">
        <v>5800</v>
      </c>
      <c r="K239" s="522">
        <f t="shared" si="22"/>
        <v>6960</v>
      </c>
      <c r="L239" s="1"/>
      <c r="M239" s="1"/>
      <c r="N239" s="1"/>
      <c r="O239" s="1"/>
      <c r="P239" s="1"/>
    </row>
    <row r="240" spans="1:16" ht="78.75">
      <c r="A240" s="513" t="str">
        <f t="shared" si="23"/>
        <v>L .</v>
      </c>
      <c r="B240" s="514" t="s">
        <v>715</v>
      </c>
      <c r="C240" s="515" t="s">
        <v>1126</v>
      </c>
      <c r="D240" s="516" t="s">
        <v>1127</v>
      </c>
      <c r="E240" s="576" t="s">
        <v>1128</v>
      </c>
      <c r="F240" s="523" t="s">
        <v>1066</v>
      </c>
      <c r="G240" s="524">
        <v>0</v>
      </c>
      <c r="H240" s="528">
        <v>0</v>
      </c>
      <c r="I240" s="520">
        <f t="shared" si="21"/>
        <v>12500</v>
      </c>
      <c r="J240" s="521">
        <v>12500</v>
      </c>
      <c r="K240" s="522">
        <f t="shared" si="22"/>
        <v>15000</v>
      </c>
      <c r="L240" s="1"/>
      <c r="M240" s="1"/>
      <c r="N240" s="1"/>
      <c r="O240" s="1"/>
      <c r="P240" s="1"/>
    </row>
    <row r="241" spans="1:16" ht="52.5">
      <c r="A241" s="513" t="str">
        <f t="shared" si="23"/>
        <v>L .</v>
      </c>
      <c r="B241" s="514" t="s">
        <v>719</v>
      </c>
      <c r="C241" s="526"/>
      <c r="D241" s="527"/>
      <c r="E241" s="578" t="s">
        <v>1129</v>
      </c>
      <c r="F241" s="517" t="s">
        <v>1066</v>
      </c>
      <c r="G241" s="524">
        <v>0</v>
      </c>
      <c r="H241" s="528">
        <v>0</v>
      </c>
      <c r="I241" s="520">
        <f t="shared" si="21"/>
        <v>11000</v>
      </c>
      <c r="J241" s="529">
        <v>11000</v>
      </c>
      <c r="K241" s="530">
        <f t="shared" si="22"/>
        <v>13200</v>
      </c>
      <c r="L241" s="1"/>
      <c r="M241" s="1"/>
      <c r="N241" s="1"/>
      <c r="O241" s="1"/>
      <c r="P241" s="1"/>
    </row>
    <row r="242" spans="1:16" ht="78.75">
      <c r="A242" s="513" t="str">
        <f t="shared" si="23"/>
        <v>L .</v>
      </c>
      <c r="B242" s="514" t="s">
        <v>723</v>
      </c>
      <c r="C242" s="526"/>
      <c r="D242" s="527"/>
      <c r="E242" s="578" t="s">
        <v>1130</v>
      </c>
      <c r="F242" s="517" t="s">
        <v>1066</v>
      </c>
      <c r="G242" s="524">
        <v>0</v>
      </c>
      <c r="H242" s="528">
        <v>0</v>
      </c>
      <c r="I242" s="520">
        <f t="shared" si="21"/>
        <v>2500</v>
      </c>
      <c r="J242" s="529">
        <v>2500</v>
      </c>
      <c r="K242" s="530">
        <f t="shared" si="22"/>
        <v>3000</v>
      </c>
      <c r="L242" s="1"/>
      <c r="M242" s="1"/>
      <c r="N242" s="1"/>
      <c r="O242" s="1"/>
      <c r="P242" s="1"/>
    </row>
    <row r="243" spans="1:16" ht="105">
      <c r="A243" s="513" t="str">
        <f t="shared" si="23"/>
        <v>L .</v>
      </c>
      <c r="B243" s="514" t="s">
        <v>727</v>
      </c>
      <c r="C243" s="526"/>
      <c r="D243" s="527"/>
      <c r="E243" s="578" t="s">
        <v>1131</v>
      </c>
      <c r="F243" s="517" t="s">
        <v>1066</v>
      </c>
      <c r="G243" s="524">
        <v>0</v>
      </c>
      <c r="H243" s="528">
        <v>0</v>
      </c>
      <c r="I243" s="520">
        <f t="shared" si="21"/>
        <v>38000</v>
      </c>
      <c r="J243" s="529">
        <v>38000</v>
      </c>
      <c r="K243" s="530">
        <f t="shared" si="22"/>
        <v>45600</v>
      </c>
      <c r="L243" s="1"/>
      <c r="M243" s="1"/>
      <c r="N243" s="1"/>
      <c r="O243" s="1"/>
      <c r="P243" s="1"/>
    </row>
    <row r="244" spans="1:16" ht="105">
      <c r="A244" s="513" t="str">
        <f t="shared" si="23"/>
        <v>L .</v>
      </c>
      <c r="B244" s="514" t="s">
        <v>731</v>
      </c>
      <c r="C244" s="526"/>
      <c r="D244" s="527"/>
      <c r="E244" s="578" t="s">
        <v>1131</v>
      </c>
      <c r="F244" s="517" t="s">
        <v>1132</v>
      </c>
      <c r="G244" s="524">
        <v>0</v>
      </c>
      <c r="H244" s="528">
        <v>0</v>
      </c>
      <c r="I244" s="520">
        <f t="shared" si="21"/>
        <v>500000</v>
      </c>
      <c r="J244" s="529">
        <v>500000</v>
      </c>
      <c r="K244" s="530">
        <f t="shared" si="22"/>
        <v>600000</v>
      </c>
      <c r="L244" s="1"/>
      <c r="M244" s="1"/>
      <c r="N244" s="1"/>
      <c r="O244" s="1"/>
      <c r="P244" s="1"/>
    </row>
    <row r="245" spans="1:16" ht="52.5">
      <c r="A245" s="513" t="str">
        <f t="shared" si="23"/>
        <v>L .</v>
      </c>
      <c r="B245" s="514" t="s">
        <v>735</v>
      </c>
      <c r="C245" s="526"/>
      <c r="D245" s="527"/>
      <c r="E245" s="578" t="s">
        <v>1133</v>
      </c>
      <c r="F245" s="517" t="s">
        <v>1066</v>
      </c>
      <c r="G245" s="524">
        <v>0</v>
      </c>
      <c r="H245" s="528">
        <v>0</v>
      </c>
      <c r="I245" s="520">
        <f t="shared" si="21"/>
        <v>10500</v>
      </c>
      <c r="J245" s="529">
        <v>10500</v>
      </c>
      <c r="K245" s="530">
        <f t="shared" si="22"/>
        <v>12600</v>
      </c>
      <c r="L245" s="1"/>
      <c r="M245" s="1"/>
      <c r="N245" s="1"/>
      <c r="O245" s="1"/>
      <c r="P245" s="1"/>
    </row>
    <row r="246" spans="1:16" ht="26.25">
      <c r="A246" s="513" t="str">
        <f t="shared" si="23"/>
        <v>L .</v>
      </c>
      <c r="B246" s="514" t="s">
        <v>739</v>
      </c>
      <c r="C246" s="526"/>
      <c r="D246" s="527"/>
      <c r="E246" s="578" t="s">
        <v>1134</v>
      </c>
      <c r="F246" s="517" t="s">
        <v>1066</v>
      </c>
      <c r="G246" s="524">
        <v>0</v>
      </c>
      <c r="H246" s="528">
        <v>0</v>
      </c>
      <c r="I246" s="520">
        <f t="shared" si="21"/>
        <v>8500</v>
      </c>
      <c r="J246" s="529">
        <v>8500</v>
      </c>
      <c r="K246" s="530">
        <f t="shared" si="22"/>
        <v>10200</v>
      </c>
      <c r="L246" s="1"/>
      <c r="M246" s="1"/>
      <c r="N246" s="1"/>
      <c r="O246" s="1"/>
      <c r="P246" s="1"/>
    </row>
    <row r="247" spans="1:16" ht="52.5">
      <c r="A247" s="513" t="str">
        <f t="shared" si="23"/>
        <v>L .</v>
      </c>
      <c r="B247" s="514" t="s">
        <v>743</v>
      </c>
      <c r="C247" s="533"/>
      <c r="D247" s="534"/>
      <c r="E247" s="578" t="s">
        <v>1135</v>
      </c>
      <c r="F247" s="517" t="s">
        <v>1469</v>
      </c>
      <c r="G247" s="524">
        <v>0</v>
      </c>
      <c r="H247" s="528">
        <v>0</v>
      </c>
      <c r="I247" s="520">
        <f t="shared" si="21"/>
        <v>6.5</v>
      </c>
      <c r="J247" s="539">
        <v>6.5</v>
      </c>
      <c r="K247" s="540">
        <f t="shared" si="22"/>
        <v>7.8</v>
      </c>
      <c r="L247" s="1"/>
      <c r="M247" s="1"/>
      <c r="N247" s="1"/>
      <c r="O247" s="1"/>
      <c r="P247" s="1"/>
    </row>
    <row r="248" spans="1:16" ht="78.75">
      <c r="A248" s="513" t="str">
        <f t="shared" si="23"/>
        <v>L .</v>
      </c>
      <c r="B248" s="514" t="s">
        <v>746</v>
      </c>
      <c r="C248" s="533"/>
      <c r="D248" s="534"/>
      <c r="E248" s="579" t="s">
        <v>1136</v>
      </c>
      <c r="F248" s="517" t="s">
        <v>1066</v>
      </c>
      <c r="G248" s="524">
        <v>0</v>
      </c>
      <c r="H248" s="528">
        <v>0</v>
      </c>
      <c r="I248" s="520">
        <f t="shared" si="21"/>
        <v>8625</v>
      </c>
      <c r="J248" s="539">
        <v>8625</v>
      </c>
      <c r="K248" s="540">
        <f t="shared" si="22"/>
        <v>10350</v>
      </c>
      <c r="L248" s="1"/>
      <c r="M248" s="1"/>
      <c r="N248" s="1"/>
      <c r="O248" s="1"/>
      <c r="P248" s="1"/>
    </row>
    <row r="249" spans="1:16" ht="52.5">
      <c r="A249" s="513" t="str">
        <f t="shared" si="23"/>
        <v>L .</v>
      </c>
      <c r="B249" s="514" t="s">
        <v>750</v>
      </c>
      <c r="C249" s="533"/>
      <c r="D249" s="534"/>
      <c r="E249" s="579" t="s">
        <v>1137</v>
      </c>
      <c r="F249" s="517" t="s">
        <v>1066</v>
      </c>
      <c r="G249" s="524">
        <v>0</v>
      </c>
      <c r="H249" s="528">
        <v>0</v>
      </c>
      <c r="I249" s="520">
        <f t="shared" si="21"/>
        <v>8250</v>
      </c>
      <c r="J249" s="539">
        <v>8250</v>
      </c>
      <c r="K249" s="540">
        <f t="shared" si="22"/>
        <v>9900</v>
      </c>
      <c r="L249" s="1"/>
      <c r="M249" s="1"/>
      <c r="N249" s="1"/>
      <c r="O249" s="1"/>
      <c r="P249" s="1"/>
    </row>
    <row r="250" spans="1:16" ht="52.5">
      <c r="A250" s="513" t="str">
        <f t="shared" si="23"/>
        <v>L .</v>
      </c>
      <c r="B250" s="514" t="s">
        <v>754</v>
      </c>
      <c r="C250" s="533"/>
      <c r="D250" s="534"/>
      <c r="E250" s="579" t="s">
        <v>1138</v>
      </c>
      <c r="F250" s="523" t="s">
        <v>1139</v>
      </c>
      <c r="G250" s="524">
        <v>0</v>
      </c>
      <c r="H250" s="528">
        <v>0</v>
      </c>
      <c r="I250" s="520">
        <f t="shared" si="21"/>
        <v>135</v>
      </c>
      <c r="J250" s="539">
        <v>135</v>
      </c>
      <c r="K250" s="540">
        <f t="shared" si="22"/>
        <v>162</v>
      </c>
      <c r="L250" s="1"/>
      <c r="M250" s="1"/>
      <c r="N250" s="1"/>
      <c r="O250" s="1"/>
      <c r="P250" s="1"/>
    </row>
    <row r="251" spans="1:16" ht="52.5">
      <c r="A251" s="513" t="str">
        <f t="shared" si="23"/>
        <v>L .</v>
      </c>
      <c r="B251" s="514" t="s">
        <v>758</v>
      </c>
      <c r="C251" s="533"/>
      <c r="D251" s="534"/>
      <c r="E251" s="579" t="s">
        <v>1140</v>
      </c>
      <c r="F251" s="517" t="s">
        <v>1469</v>
      </c>
      <c r="G251" s="524">
        <v>0</v>
      </c>
      <c r="H251" s="528">
        <v>0</v>
      </c>
      <c r="I251" s="520">
        <f t="shared" si="21"/>
        <v>550</v>
      </c>
      <c r="J251" s="539">
        <v>550</v>
      </c>
      <c r="K251" s="540">
        <f t="shared" si="22"/>
        <v>660</v>
      </c>
      <c r="L251" s="1"/>
      <c r="M251" s="1"/>
      <c r="N251" s="1"/>
      <c r="O251" s="1"/>
      <c r="P251" s="1"/>
    </row>
    <row r="252" spans="1:16" ht="52.5">
      <c r="A252" s="513" t="str">
        <f t="shared" si="23"/>
        <v>L .</v>
      </c>
      <c r="B252" s="514" t="s">
        <v>762</v>
      </c>
      <c r="C252" s="533"/>
      <c r="D252" s="534"/>
      <c r="E252" s="579" t="s">
        <v>1141</v>
      </c>
      <c r="F252" s="517" t="s">
        <v>1066</v>
      </c>
      <c r="G252" s="524">
        <v>0</v>
      </c>
      <c r="H252" s="528">
        <v>0</v>
      </c>
      <c r="I252" s="520">
        <f t="shared" si="21"/>
        <v>500</v>
      </c>
      <c r="J252" s="539">
        <v>500</v>
      </c>
      <c r="K252" s="540">
        <f t="shared" si="22"/>
        <v>600</v>
      </c>
      <c r="L252" s="1"/>
      <c r="M252" s="1"/>
      <c r="N252" s="1"/>
      <c r="O252" s="1"/>
      <c r="P252" s="1"/>
    </row>
    <row r="253" spans="1:16" ht="26.25">
      <c r="A253" s="575"/>
      <c r="B253" s="562"/>
      <c r="C253" s="533"/>
      <c r="D253" s="534"/>
      <c r="E253" s="579"/>
      <c r="F253" s="566"/>
      <c r="G253" s="567"/>
      <c r="H253" s="568"/>
      <c r="I253" s="561"/>
      <c r="J253" s="539"/>
      <c r="K253" s="540"/>
      <c r="L253" s="1"/>
      <c r="M253" s="1"/>
      <c r="N253" s="1"/>
      <c r="O253" s="1"/>
      <c r="P253" s="1"/>
    </row>
    <row r="254" spans="1:16" ht="77.25" thickBot="1">
      <c r="A254" s="829" t="s">
        <v>1142</v>
      </c>
      <c r="B254" s="830"/>
      <c r="C254" s="634"/>
      <c r="D254" s="635"/>
      <c r="E254" s="742" t="s">
        <v>1143</v>
      </c>
      <c r="F254" s="636"/>
      <c r="G254" s="637"/>
      <c r="H254" s="638"/>
      <c r="I254" s="639"/>
      <c r="J254" s="640"/>
      <c r="K254" s="641"/>
      <c r="L254" s="1"/>
      <c r="M254" s="1"/>
      <c r="N254" s="1"/>
      <c r="O254" s="1"/>
      <c r="P254" s="1"/>
    </row>
    <row r="255" spans="1:16" ht="26.25">
      <c r="A255" s="642"/>
      <c r="B255" s="643"/>
      <c r="C255" s="644"/>
      <c r="D255" s="645"/>
      <c r="E255" s="743"/>
      <c r="F255" s="646"/>
      <c r="G255" s="647"/>
      <c r="H255" s="648"/>
      <c r="I255" s="649"/>
      <c r="J255" s="650"/>
      <c r="K255" s="651"/>
      <c r="L255" s="1"/>
      <c r="M255" s="1"/>
      <c r="N255" s="1"/>
      <c r="O255" s="1"/>
      <c r="P255" s="1"/>
    </row>
    <row r="256" spans="1:16" ht="26.25">
      <c r="A256" s="513" t="str">
        <f>+A254</f>
        <v>M .</v>
      </c>
      <c r="B256" s="514" t="s">
        <v>594</v>
      </c>
      <c r="C256" s="515" t="s">
        <v>1144</v>
      </c>
      <c r="D256" s="516"/>
      <c r="E256" s="576" t="s">
        <v>1145</v>
      </c>
      <c r="F256" s="523" t="s">
        <v>1066</v>
      </c>
      <c r="G256" s="524">
        <v>0</v>
      </c>
      <c r="H256" s="528">
        <v>0</v>
      </c>
      <c r="I256" s="520">
        <f aca="true" t="shared" si="24" ref="I256:I264">+J256-(G256+H256)</f>
        <v>3255.43</v>
      </c>
      <c r="J256" s="521">
        <v>3255.43</v>
      </c>
      <c r="K256" s="522">
        <f aca="true" t="shared" si="25" ref="K256:K264">+$K256*$L$5</f>
        <v>3906.5159999999996</v>
      </c>
      <c r="L256" s="1"/>
      <c r="M256" s="1"/>
      <c r="N256" s="1"/>
      <c r="O256" s="1"/>
      <c r="P256" s="1"/>
    </row>
    <row r="257" spans="1:16" ht="52.5">
      <c r="A257" s="513" t="str">
        <f>+A256</f>
        <v>M .</v>
      </c>
      <c r="B257" s="514" t="s">
        <v>598</v>
      </c>
      <c r="C257" s="515" t="s">
        <v>1146</v>
      </c>
      <c r="D257" s="516"/>
      <c r="E257" s="576" t="s">
        <v>1147</v>
      </c>
      <c r="F257" s="523" t="s">
        <v>1066</v>
      </c>
      <c r="G257" s="524">
        <v>0</v>
      </c>
      <c r="H257" s="528">
        <v>0</v>
      </c>
      <c r="I257" s="520">
        <f t="shared" si="24"/>
        <v>4655.64</v>
      </c>
      <c r="J257" s="521">
        <v>4655.64</v>
      </c>
      <c r="K257" s="522">
        <f t="shared" si="25"/>
        <v>5586.768</v>
      </c>
      <c r="L257" s="1"/>
      <c r="M257" s="1"/>
      <c r="N257" s="1"/>
      <c r="O257" s="1"/>
      <c r="P257" s="1"/>
    </row>
    <row r="258" spans="1:16" ht="26.25">
      <c r="A258" s="513" t="str">
        <f aca="true" t="shared" si="26" ref="A258:A264">+A257</f>
        <v>M .</v>
      </c>
      <c r="B258" s="514" t="s">
        <v>603</v>
      </c>
      <c r="C258" s="515" t="s">
        <v>1148</v>
      </c>
      <c r="D258" s="516"/>
      <c r="E258" s="576" t="s">
        <v>1149</v>
      </c>
      <c r="F258" s="523" t="s">
        <v>1066</v>
      </c>
      <c r="G258" s="524">
        <v>0</v>
      </c>
      <c r="H258" s="528">
        <v>0</v>
      </c>
      <c r="I258" s="520">
        <f t="shared" si="24"/>
        <v>5824.29</v>
      </c>
      <c r="J258" s="521">
        <v>5824.29</v>
      </c>
      <c r="K258" s="522">
        <f t="shared" si="25"/>
        <v>6989.148</v>
      </c>
      <c r="L258" s="1"/>
      <c r="M258" s="1"/>
      <c r="N258" s="1"/>
      <c r="O258" s="1"/>
      <c r="P258" s="1"/>
    </row>
    <row r="259" spans="1:16" ht="26.25">
      <c r="A259" s="513" t="str">
        <f t="shared" si="26"/>
        <v>M .</v>
      </c>
      <c r="B259" s="514" t="s">
        <v>607</v>
      </c>
      <c r="C259" s="515" t="s">
        <v>1150</v>
      </c>
      <c r="D259" s="516"/>
      <c r="E259" s="576" t="s">
        <v>1151</v>
      </c>
      <c r="F259" s="523" t="s">
        <v>1066</v>
      </c>
      <c r="G259" s="524">
        <v>0</v>
      </c>
      <c r="H259" s="528">
        <v>0</v>
      </c>
      <c r="I259" s="520">
        <f t="shared" si="24"/>
        <v>1979.94</v>
      </c>
      <c r="J259" s="521">
        <v>1979.94</v>
      </c>
      <c r="K259" s="522">
        <f t="shared" si="25"/>
        <v>2375.928</v>
      </c>
      <c r="L259" s="1"/>
      <c r="M259" s="1"/>
      <c r="N259" s="1"/>
      <c r="O259" s="1"/>
      <c r="P259" s="1"/>
    </row>
    <row r="260" spans="1:16" ht="26.25">
      <c r="A260" s="513" t="str">
        <f t="shared" si="26"/>
        <v>M .</v>
      </c>
      <c r="B260" s="514" t="s">
        <v>612</v>
      </c>
      <c r="C260" s="526"/>
      <c r="D260" s="527"/>
      <c r="E260" s="578" t="s">
        <v>1152</v>
      </c>
      <c r="F260" s="517" t="s">
        <v>1066</v>
      </c>
      <c r="G260" s="524">
        <v>0</v>
      </c>
      <c r="H260" s="528">
        <v>0</v>
      </c>
      <c r="I260" s="520">
        <f t="shared" si="24"/>
        <v>5500</v>
      </c>
      <c r="J260" s="529">
        <v>5500</v>
      </c>
      <c r="K260" s="530">
        <f t="shared" si="25"/>
        <v>6600</v>
      </c>
      <c r="L260" s="1"/>
      <c r="M260" s="1"/>
      <c r="N260" s="1"/>
      <c r="O260" s="1"/>
      <c r="P260" s="1"/>
    </row>
    <row r="261" spans="1:16" ht="26.25">
      <c r="A261" s="513" t="str">
        <f t="shared" si="26"/>
        <v>M .</v>
      </c>
      <c r="B261" s="514" t="s">
        <v>616</v>
      </c>
      <c r="C261" s="526"/>
      <c r="D261" s="527"/>
      <c r="E261" s="578" t="s">
        <v>1153</v>
      </c>
      <c r="F261" s="517" t="s">
        <v>1066</v>
      </c>
      <c r="G261" s="524">
        <v>0</v>
      </c>
      <c r="H261" s="528">
        <v>0</v>
      </c>
      <c r="I261" s="520">
        <f t="shared" si="24"/>
        <v>5800</v>
      </c>
      <c r="J261" s="529">
        <v>5800</v>
      </c>
      <c r="K261" s="530">
        <f t="shared" si="25"/>
        <v>6960</v>
      </c>
      <c r="L261" s="1"/>
      <c r="M261" s="1"/>
      <c r="N261" s="1"/>
      <c r="O261" s="1"/>
      <c r="P261" s="1"/>
    </row>
    <row r="262" spans="1:16" ht="26.25">
      <c r="A262" s="513" t="str">
        <f t="shared" si="26"/>
        <v>M .</v>
      </c>
      <c r="B262" s="514" t="s">
        <v>619</v>
      </c>
      <c r="C262" s="526"/>
      <c r="D262" s="527"/>
      <c r="E262" s="578" t="s">
        <v>1154</v>
      </c>
      <c r="F262" s="517" t="s">
        <v>1066</v>
      </c>
      <c r="G262" s="524">
        <v>0</v>
      </c>
      <c r="H262" s="528">
        <v>0</v>
      </c>
      <c r="I262" s="520">
        <f t="shared" si="24"/>
        <v>2300</v>
      </c>
      <c r="J262" s="529">
        <v>2300</v>
      </c>
      <c r="K262" s="530">
        <f t="shared" si="25"/>
        <v>2760</v>
      </c>
      <c r="L262" s="1"/>
      <c r="M262" s="1"/>
      <c r="N262" s="1"/>
      <c r="O262" s="1"/>
      <c r="P262" s="1"/>
    </row>
    <row r="263" spans="1:16" ht="26.25">
      <c r="A263" s="513" t="str">
        <f t="shared" si="26"/>
        <v>M .</v>
      </c>
      <c r="B263" s="514" t="s">
        <v>622</v>
      </c>
      <c r="C263" s="563"/>
      <c r="D263" s="564"/>
      <c r="E263" s="632" t="s">
        <v>1155</v>
      </c>
      <c r="F263" s="517" t="s">
        <v>1066</v>
      </c>
      <c r="G263" s="524">
        <v>0</v>
      </c>
      <c r="H263" s="528">
        <v>0</v>
      </c>
      <c r="I263" s="520">
        <f t="shared" si="24"/>
        <v>550</v>
      </c>
      <c r="J263" s="569">
        <v>550</v>
      </c>
      <c r="K263" s="570">
        <f t="shared" si="25"/>
        <v>660</v>
      </c>
      <c r="L263" s="1"/>
      <c r="M263" s="1"/>
      <c r="N263" s="1"/>
      <c r="O263" s="1"/>
      <c r="P263" s="1"/>
    </row>
    <row r="264" spans="1:16" ht="52.5">
      <c r="A264" s="513" t="str">
        <f t="shared" si="26"/>
        <v>M .</v>
      </c>
      <c r="B264" s="514" t="s">
        <v>625</v>
      </c>
      <c r="C264" s="563"/>
      <c r="D264" s="564"/>
      <c r="E264" s="632" t="s">
        <v>1156</v>
      </c>
      <c r="F264" s="517" t="s">
        <v>1066</v>
      </c>
      <c r="G264" s="524">
        <v>0</v>
      </c>
      <c r="H264" s="528">
        <v>0</v>
      </c>
      <c r="I264" s="520">
        <f t="shared" si="24"/>
        <v>360</v>
      </c>
      <c r="J264" s="569">
        <v>360</v>
      </c>
      <c r="K264" s="570">
        <f t="shared" si="25"/>
        <v>432</v>
      </c>
      <c r="L264" s="1"/>
      <c r="M264" s="1"/>
      <c r="N264" s="1"/>
      <c r="O264" s="1"/>
      <c r="P264" s="1"/>
    </row>
    <row r="265" spans="1:16" ht="26.25">
      <c r="A265" s="575"/>
      <c r="B265" s="562"/>
      <c r="C265" s="563"/>
      <c r="D265" s="564"/>
      <c r="E265" s="632"/>
      <c r="F265" s="535"/>
      <c r="G265" s="536"/>
      <c r="H265" s="537"/>
      <c r="I265" s="538"/>
      <c r="J265" s="569"/>
      <c r="K265" s="570"/>
      <c r="L265" s="1"/>
      <c r="M265" s="1"/>
      <c r="N265" s="1"/>
      <c r="O265" s="1"/>
      <c r="P265" s="1"/>
    </row>
    <row r="266" spans="1:16" ht="27" thickBot="1">
      <c r="A266" s="829" t="s">
        <v>1157</v>
      </c>
      <c r="B266" s="830"/>
      <c r="C266" s="652"/>
      <c r="D266" s="496"/>
      <c r="E266" s="742" t="s">
        <v>1158</v>
      </c>
      <c r="F266" s="653"/>
      <c r="G266" s="654"/>
      <c r="H266" s="655"/>
      <c r="I266" s="656"/>
      <c r="J266" s="544"/>
      <c r="K266" s="545"/>
      <c r="L266" s="1"/>
      <c r="M266" s="1"/>
      <c r="N266" s="1"/>
      <c r="O266" s="1"/>
      <c r="P266" s="1"/>
    </row>
    <row r="267" spans="1:16" ht="26.25">
      <c r="A267" s="575"/>
      <c r="B267" s="643"/>
      <c r="C267" s="657"/>
      <c r="D267" s="548"/>
      <c r="E267" s="743"/>
      <c r="F267" s="658"/>
      <c r="G267" s="659"/>
      <c r="H267" s="660"/>
      <c r="I267" s="661"/>
      <c r="J267" s="553"/>
      <c r="K267" s="554"/>
      <c r="L267" s="1"/>
      <c r="M267" s="1"/>
      <c r="N267" s="1"/>
      <c r="O267" s="1"/>
      <c r="P267" s="1"/>
    </row>
    <row r="268" spans="1:16" ht="78.75">
      <c r="A268" s="513" t="str">
        <f>+A266</f>
        <v>N .</v>
      </c>
      <c r="B268" s="514" t="s">
        <v>594</v>
      </c>
      <c r="C268" s="515" t="s">
        <v>1144</v>
      </c>
      <c r="D268" s="516"/>
      <c r="E268" s="576" t="s">
        <v>1159</v>
      </c>
      <c r="F268" s="523" t="s">
        <v>1483</v>
      </c>
      <c r="G268" s="524">
        <v>0</v>
      </c>
      <c r="H268" s="528">
        <v>0</v>
      </c>
      <c r="I268" s="520">
        <f aca="true" t="shared" si="27" ref="I268:I282">+J268-(G268+H268)</f>
        <v>163.87</v>
      </c>
      <c r="J268" s="521">
        <v>163.87</v>
      </c>
      <c r="K268" s="522">
        <f aca="true" t="shared" si="28" ref="K268:K282">+$K268*$L$5</f>
        <v>196.644</v>
      </c>
      <c r="L268" s="1"/>
      <c r="M268" s="1"/>
      <c r="N268" s="1"/>
      <c r="O268" s="1"/>
      <c r="P268" s="1"/>
    </row>
    <row r="269" spans="1:16" ht="78.75">
      <c r="A269" s="513" t="str">
        <f>+A268</f>
        <v>N .</v>
      </c>
      <c r="B269" s="514" t="s">
        <v>598</v>
      </c>
      <c r="C269" s="515" t="s">
        <v>1146</v>
      </c>
      <c r="D269" s="516"/>
      <c r="E269" s="576" t="s">
        <v>1160</v>
      </c>
      <c r="F269" s="523" t="s">
        <v>1483</v>
      </c>
      <c r="G269" s="524">
        <v>0</v>
      </c>
      <c r="H269" s="528">
        <v>0</v>
      </c>
      <c r="I269" s="520">
        <f t="shared" si="27"/>
        <v>212.61</v>
      </c>
      <c r="J269" s="521">
        <v>212.61</v>
      </c>
      <c r="K269" s="522">
        <f t="shared" si="28"/>
        <v>255.132</v>
      </c>
      <c r="L269" s="1"/>
      <c r="M269" s="1"/>
      <c r="N269" s="1"/>
      <c r="O269" s="1"/>
      <c r="P269" s="1"/>
    </row>
    <row r="270" spans="1:16" ht="78.75">
      <c r="A270" s="513" t="str">
        <f aca="true" t="shared" si="29" ref="A270:A282">+A269</f>
        <v>N .</v>
      </c>
      <c r="B270" s="514" t="s">
        <v>603</v>
      </c>
      <c r="C270" s="515" t="s">
        <v>1148</v>
      </c>
      <c r="D270" s="516"/>
      <c r="E270" s="576" t="s">
        <v>1161</v>
      </c>
      <c r="F270" s="523" t="s">
        <v>1483</v>
      </c>
      <c r="G270" s="524">
        <v>0</v>
      </c>
      <c r="H270" s="528">
        <v>0</v>
      </c>
      <c r="I270" s="520">
        <f t="shared" si="27"/>
        <v>261.35</v>
      </c>
      <c r="J270" s="521">
        <v>261.35</v>
      </c>
      <c r="K270" s="522">
        <f t="shared" si="28"/>
        <v>313.62</v>
      </c>
      <c r="L270" s="1"/>
      <c r="M270" s="1"/>
      <c r="N270" s="1"/>
      <c r="O270" s="1"/>
      <c r="P270" s="1"/>
    </row>
    <row r="271" spans="1:16" ht="78.75">
      <c r="A271" s="513" t="str">
        <f t="shared" si="29"/>
        <v>N .</v>
      </c>
      <c r="B271" s="514" t="s">
        <v>607</v>
      </c>
      <c r="C271" s="515" t="s">
        <v>1150</v>
      </c>
      <c r="D271" s="516"/>
      <c r="E271" s="576" t="s">
        <v>1162</v>
      </c>
      <c r="F271" s="523" t="s">
        <v>1483</v>
      </c>
      <c r="G271" s="524">
        <v>0</v>
      </c>
      <c r="H271" s="528">
        <v>0</v>
      </c>
      <c r="I271" s="520">
        <f t="shared" si="27"/>
        <v>310.08</v>
      </c>
      <c r="J271" s="521">
        <v>310.08</v>
      </c>
      <c r="K271" s="522">
        <f t="shared" si="28"/>
        <v>372.09599999999995</v>
      </c>
      <c r="L271" s="1"/>
      <c r="M271" s="1"/>
      <c r="N271" s="1"/>
      <c r="O271" s="1"/>
      <c r="P271" s="1"/>
    </row>
    <row r="272" spans="1:16" ht="78.75">
      <c r="A272" s="513" t="str">
        <f t="shared" si="29"/>
        <v>N .</v>
      </c>
      <c r="B272" s="514" t="s">
        <v>612</v>
      </c>
      <c r="C272" s="515" t="s">
        <v>1163</v>
      </c>
      <c r="D272" s="516"/>
      <c r="E272" s="576" t="s">
        <v>1164</v>
      </c>
      <c r="F272" s="523" t="s">
        <v>1483</v>
      </c>
      <c r="G272" s="524">
        <v>0</v>
      </c>
      <c r="H272" s="528">
        <v>0</v>
      </c>
      <c r="I272" s="520">
        <f t="shared" si="27"/>
        <v>358.82</v>
      </c>
      <c r="J272" s="521">
        <v>358.82</v>
      </c>
      <c r="K272" s="522">
        <f t="shared" si="28"/>
        <v>430.584</v>
      </c>
      <c r="L272" s="1"/>
      <c r="M272" s="1"/>
      <c r="N272" s="1"/>
      <c r="O272" s="1"/>
      <c r="P272" s="1"/>
    </row>
    <row r="273" spans="1:16" ht="78.75">
      <c r="A273" s="513" t="str">
        <f t="shared" si="29"/>
        <v>N .</v>
      </c>
      <c r="B273" s="514" t="s">
        <v>616</v>
      </c>
      <c r="C273" s="515" t="s">
        <v>1165</v>
      </c>
      <c r="D273" s="516"/>
      <c r="E273" s="576" t="s">
        <v>1166</v>
      </c>
      <c r="F273" s="523" t="s">
        <v>1483</v>
      </c>
      <c r="G273" s="524">
        <v>0</v>
      </c>
      <c r="H273" s="528">
        <v>0</v>
      </c>
      <c r="I273" s="520">
        <f t="shared" si="27"/>
        <v>602.5</v>
      </c>
      <c r="J273" s="521">
        <v>602.5</v>
      </c>
      <c r="K273" s="522">
        <f t="shared" si="28"/>
        <v>723</v>
      </c>
      <c r="L273" s="1"/>
      <c r="M273" s="1"/>
      <c r="N273" s="1"/>
      <c r="O273" s="1"/>
      <c r="P273" s="1"/>
    </row>
    <row r="274" spans="1:16" ht="78.75">
      <c r="A274" s="513" t="str">
        <f t="shared" si="29"/>
        <v>N .</v>
      </c>
      <c r="B274" s="514" t="s">
        <v>619</v>
      </c>
      <c r="C274" s="515" t="s">
        <v>1167</v>
      </c>
      <c r="D274" s="516"/>
      <c r="E274" s="576" t="s">
        <v>1168</v>
      </c>
      <c r="F274" s="523" t="s">
        <v>1483</v>
      </c>
      <c r="G274" s="524">
        <v>0</v>
      </c>
      <c r="H274" s="528">
        <v>0</v>
      </c>
      <c r="I274" s="520">
        <f t="shared" si="27"/>
        <v>846.18</v>
      </c>
      <c r="J274" s="521">
        <v>846.18</v>
      </c>
      <c r="K274" s="522">
        <f t="shared" si="28"/>
        <v>1015.4159999999999</v>
      </c>
      <c r="L274" s="1"/>
      <c r="M274" s="1"/>
      <c r="N274" s="1"/>
      <c r="O274" s="1"/>
      <c r="P274" s="1"/>
    </row>
    <row r="275" spans="1:16" ht="78.75">
      <c r="A275" s="513" t="str">
        <f t="shared" si="29"/>
        <v>N .</v>
      </c>
      <c r="B275" s="514" t="s">
        <v>622</v>
      </c>
      <c r="C275" s="515" t="s">
        <v>1169</v>
      </c>
      <c r="D275" s="516"/>
      <c r="E275" s="576" t="s">
        <v>1170</v>
      </c>
      <c r="F275" s="523" t="s">
        <v>1483</v>
      </c>
      <c r="G275" s="524">
        <v>0</v>
      </c>
      <c r="H275" s="528">
        <v>0</v>
      </c>
      <c r="I275" s="520">
        <f t="shared" si="27"/>
        <v>1089.86</v>
      </c>
      <c r="J275" s="521">
        <v>1089.86</v>
      </c>
      <c r="K275" s="522">
        <f t="shared" si="28"/>
        <v>1307.8319999999999</v>
      </c>
      <c r="L275" s="1"/>
      <c r="M275" s="1"/>
      <c r="N275" s="1"/>
      <c r="O275" s="1"/>
      <c r="P275" s="1"/>
    </row>
    <row r="276" spans="1:16" ht="78.75">
      <c r="A276" s="513" t="str">
        <f t="shared" si="29"/>
        <v>N .</v>
      </c>
      <c r="B276" s="514" t="s">
        <v>625</v>
      </c>
      <c r="C276" s="515" t="s">
        <v>1171</v>
      </c>
      <c r="D276" s="516"/>
      <c r="E276" s="576" t="s">
        <v>1172</v>
      </c>
      <c r="F276" s="523" t="s">
        <v>1483</v>
      </c>
      <c r="G276" s="524">
        <v>0</v>
      </c>
      <c r="H276" s="528">
        <v>0</v>
      </c>
      <c r="I276" s="520">
        <f t="shared" si="27"/>
        <v>1333.54</v>
      </c>
      <c r="J276" s="521">
        <v>1333.54</v>
      </c>
      <c r="K276" s="522">
        <f t="shared" si="28"/>
        <v>1600.2479999999998</v>
      </c>
      <c r="L276" s="1"/>
      <c r="M276" s="1"/>
      <c r="N276" s="1"/>
      <c r="O276" s="1"/>
      <c r="P276" s="1"/>
    </row>
    <row r="277" spans="1:16" ht="78.75">
      <c r="A277" s="513" t="str">
        <f t="shared" si="29"/>
        <v>N .</v>
      </c>
      <c r="B277" s="514" t="s">
        <v>628</v>
      </c>
      <c r="C277" s="515" t="s">
        <v>1173</v>
      </c>
      <c r="D277" s="516"/>
      <c r="E277" s="576" t="s">
        <v>1174</v>
      </c>
      <c r="F277" s="523" t="s">
        <v>1483</v>
      </c>
      <c r="G277" s="524">
        <v>0</v>
      </c>
      <c r="H277" s="528">
        <v>0</v>
      </c>
      <c r="I277" s="520">
        <f t="shared" si="27"/>
        <v>1577.22</v>
      </c>
      <c r="J277" s="521">
        <v>1577.22</v>
      </c>
      <c r="K277" s="522">
        <f t="shared" si="28"/>
        <v>1892.664</v>
      </c>
      <c r="L277" s="1"/>
      <c r="M277" s="1"/>
      <c r="N277" s="1"/>
      <c r="O277" s="1"/>
      <c r="P277" s="1"/>
    </row>
    <row r="278" spans="1:16" ht="78.75">
      <c r="A278" s="513" t="str">
        <f t="shared" si="29"/>
        <v>N .</v>
      </c>
      <c r="B278" s="514" t="s">
        <v>630</v>
      </c>
      <c r="C278" s="526" t="s">
        <v>1175</v>
      </c>
      <c r="D278" s="527"/>
      <c r="E278" s="578" t="s">
        <v>1176</v>
      </c>
      <c r="F278" s="517" t="s">
        <v>611</v>
      </c>
      <c r="G278" s="524">
        <v>0</v>
      </c>
      <c r="H278" s="528">
        <v>0</v>
      </c>
      <c r="I278" s="520">
        <f t="shared" si="27"/>
        <v>43890</v>
      </c>
      <c r="J278" s="529">
        <v>43890</v>
      </c>
      <c r="K278" s="530">
        <f t="shared" si="28"/>
        <v>52668</v>
      </c>
      <c r="L278" s="1"/>
      <c r="M278" s="1"/>
      <c r="N278" s="1"/>
      <c r="O278" s="1"/>
      <c r="P278" s="1"/>
    </row>
    <row r="279" spans="1:16" ht="26.25">
      <c r="A279" s="513" t="str">
        <f t="shared" si="29"/>
        <v>N .</v>
      </c>
      <c r="B279" s="514" t="s">
        <v>633</v>
      </c>
      <c r="C279" s="533"/>
      <c r="D279" s="534"/>
      <c r="E279" s="576" t="s">
        <v>1177</v>
      </c>
      <c r="F279" s="566" t="s">
        <v>1178</v>
      </c>
      <c r="G279" s="524">
        <v>0</v>
      </c>
      <c r="H279" s="528">
        <v>0</v>
      </c>
      <c r="I279" s="520">
        <f t="shared" si="27"/>
        <v>3685</v>
      </c>
      <c r="J279" s="539">
        <v>3685</v>
      </c>
      <c r="K279" s="540">
        <f t="shared" si="28"/>
        <v>4422</v>
      </c>
      <c r="L279" s="1"/>
      <c r="M279" s="1"/>
      <c r="N279" s="1"/>
      <c r="O279" s="1"/>
      <c r="P279" s="1"/>
    </row>
    <row r="280" spans="1:16" ht="26.25">
      <c r="A280" s="513" t="str">
        <f t="shared" si="29"/>
        <v>N .</v>
      </c>
      <c r="B280" s="514" t="s">
        <v>635</v>
      </c>
      <c r="C280" s="533"/>
      <c r="D280" s="534"/>
      <c r="E280" s="576" t="s">
        <v>1179</v>
      </c>
      <c r="F280" s="566" t="s">
        <v>1178</v>
      </c>
      <c r="G280" s="524">
        <v>0</v>
      </c>
      <c r="H280" s="528">
        <v>0</v>
      </c>
      <c r="I280" s="520">
        <f t="shared" si="27"/>
        <v>5885</v>
      </c>
      <c r="J280" s="539">
        <v>5885</v>
      </c>
      <c r="K280" s="540">
        <f t="shared" si="28"/>
        <v>7062</v>
      </c>
      <c r="L280" s="1"/>
      <c r="M280" s="1"/>
      <c r="N280" s="1"/>
      <c r="O280" s="1"/>
      <c r="P280" s="1"/>
    </row>
    <row r="281" spans="1:16" ht="26.25">
      <c r="A281" s="513" t="str">
        <f t="shared" si="29"/>
        <v>N .</v>
      </c>
      <c r="B281" s="514" t="s">
        <v>679</v>
      </c>
      <c r="C281" s="533"/>
      <c r="D281" s="534"/>
      <c r="E281" s="576" t="s">
        <v>1180</v>
      </c>
      <c r="F281" s="566" t="s">
        <v>1178</v>
      </c>
      <c r="G281" s="524">
        <v>0</v>
      </c>
      <c r="H281" s="528">
        <v>0</v>
      </c>
      <c r="I281" s="520">
        <f t="shared" si="27"/>
        <v>9460</v>
      </c>
      <c r="J281" s="539">
        <v>9460</v>
      </c>
      <c r="K281" s="540">
        <f t="shared" si="28"/>
        <v>11352</v>
      </c>
      <c r="L281" s="1"/>
      <c r="M281" s="1"/>
      <c r="N281" s="1"/>
      <c r="O281" s="1"/>
      <c r="P281" s="1"/>
    </row>
    <row r="282" spans="1:16" ht="27" thickBot="1">
      <c r="A282" s="582" t="str">
        <f t="shared" si="29"/>
        <v>N .</v>
      </c>
      <c r="B282" s="583" t="s">
        <v>683</v>
      </c>
      <c r="C282" s="584"/>
      <c r="D282" s="585"/>
      <c r="E282" s="733" t="s">
        <v>1181</v>
      </c>
      <c r="F282" s="587" t="s">
        <v>1178</v>
      </c>
      <c r="G282" s="662">
        <v>0</v>
      </c>
      <c r="H282" s="663">
        <v>0</v>
      </c>
      <c r="I282" s="664">
        <f t="shared" si="27"/>
        <v>11110</v>
      </c>
      <c r="J282" s="591">
        <v>11110</v>
      </c>
      <c r="K282" s="592">
        <f t="shared" si="28"/>
        <v>13332</v>
      </c>
      <c r="L282" s="1"/>
      <c r="M282" s="1"/>
      <c r="N282" s="1"/>
      <c r="O282" s="1"/>
      <c r="P282" s="1"/>
    </row>
    <row r="283" spans="1:16" ht="103.5" thickBot="1" thickTop="1">
      <c r="A283" s="829" t="s">
        <v>1182</v>
      </c>
      <c r="B283" s="830"/>
      <c r="C283" s="665"/>
      <c r="D283" s="666"/>
      <c r="E283" s="742" t="s">
        <v>1183</v>
      </c>
      <c r="F283" s="621"/>
      <c r="G283" s="622"/>
      <c r="H283" s="623"/>
      <c r="I283" s="624"/>
      <c r="J283" s="667"/>
      <c r="K283" s="668"/>
      <c r="L283" s="1"/>
      <c r="M283" s="1"/>
      <c r="N283" s="1"/>
      <c r="O283" s="1"/>
      <c r="P283" s="1"/>
    </row>
    <row r="284" spans="1:16" ht="26.25">
      <c r="A284" s="575"/>
      <c r="B284" s="631"/>
      <c r="C284" s="669"/>
      <c r="D284" s="670"/>
      <c r="E284" s="743"/>
      <c r="F284" s="626"/>
      <c r="G284" s="627"/>
      <c r="H284" s="628"/>
      <c r="I284" s="629"/>
      <c r="J284" s="671"/>
      <c r="K284" s="672"/>
      <c r="L284" s="1"/>
      <c r="M284" s="1"/>
      <c r="N284" s="1"/>
      <c r="O284" s="1"/>
      <c r="P284" s="1"/>
    </row>
    <row r="285" spans="1:16" ht="78.75">
      <c r="A285" s="513" t="str">
        <f>+A283</f>
        <v>O .</v>
      </c>
      <c r="B285" s="514" t="s">
        <v>594</v>
      </c>
      <c r="C285" s="526"/>
      <c r="D285" s="527"/>
      <c r="E285" s="578" t="s">
        <v>1184</v>
      </c>
      <c r="F285" s="517"/>
      <c r="G285" s="518"/>
      <c r="H285" s="519"/>
      <c r="I285" s="573"/>
      <c r="J285" s="529"/>
      <c r="K285" s="530"/>
      <c r="L285" s="1"/>
      <c r="M285" s="1"/>
      <c r="N285" s="1"/>
      <c r="O285" s="1"/>
      <c r="P285" s="1"/>
    </row>
    <row r="286" spans="1:16" ht="52.5">
      <c r="A286" s="513" t="str">
        <f>+A285</f>
        <v>O .</v>
      </c>
      <c r="B286" s="514" t="s">
        <v>598</v>
      </c>
      <c r="C286" s="526"/>
      <c r="D286" s="527"/>
      <c r="E286" s="578" t="s">
        <v>1185</v>
      </c>
      <c r="F286" s="517" t="s">
        <v>1186</v>
      </c>
      <c r="G286" s="524">
        <v>0</v>
      </c>
      <c r="H286" s="528">
        <v>0</v>
      </c>
      <c r="I286" s="520">
        <f>+J286-(G286+H286)</f>
        <v>115500</v>
      </c>
      <c r="J286" s="529">
        <v>115500</v>
      </c>
      <c r="K286" s="530">
        <f>+$K286*$L$5</f>
        <v>138600</v>
      </c>
      <c r="L286" s="1"/>
      <c r="M286" s="1"/>
      <c r="N286" s="1"/>
      <c r="O286" s="1"/>
      <c r="P286" s="1"/>
    </row>
    <row r="287" spans="1:16" ht="52.5">
      <c r="A287" s="513" t="str">
        <f aca="true" t="shared" si="30" ref="A287:A299">+A286</f>
        <v>O .</v>
      </c>
      <c r="B287" s="514" t="s">
        <v>603</v>
      </c>
      <c r="C287" s="526"/>
      <c r="D287" s="527"/>
      <c r="E287" s="578" t="s">
        <v>1187</v>
      </c>
      <c r="F287" s="517" t="s">
        <v>1186</v>
      </c>
      <c r="G287" s="524">
        <v>0</v>
      </c>
      <c r="H287" s="528">
        <v>0</v>
      </c>
      <c r="I287" s="520">
        <f>+J287-(G287+H287)</f>
        <v>173250</v>
      </c>
      <c r="J287" s="529">
        <v>173250</v>
      </c>
      <c r="K287" s="530">
        <f>+$K287*$L$5</f>
        <v>207900</v>
      </c>
      <c r="L287" s="1"/>
      <c r="M287" s="1"/>
      <c r="N287" s="1"/>
      <c r="O287" s="1"/>
      <c r="P287" s="1"/>
    </row>
    <row r="288" spans="1:16" ht="52.5">
      <c r="A288" s="513" t="str">
        <f t="shared" si="30"/>
        <v>O .</v>
      </c>
      <c r="B288" s="514" t="s">
        <v>607</v>
      </c>
      <c r="C288" s="526"/>
      <c r="D288" s="527"/>
      <c r="E288" s="578" t="s">
        <v>1188</v>
      </c>
      <c r="F288" s="517" t="s">
        <v>1186</v>
      </c>
      <c r="G288" s="524">
        <v>0</v>
      </c>
      <c r="H288" s="528">
        <v>0</v>
      </c>
      <c r="I288" s="520">
        <f>+J288-(G288+H288)</f>
        <v>288750</v>
      </c>
      <c r="J288" s="529">
        <v>288750</v>
      </c>
      <c r="K288" s="530">
        <f>+$K288*$L$5</f>
        <v>346500</v>
      </c>
      <c r="L288" s="1"/>
      <c r="M288" s="1"/>
      <c r="N288" s="1"/>
      <c r="O288" s="1"/>
      <c r="P288" s="1"/>
    </row>
    <row r="289" spans="1:16" ht="26.25">
      <c r="A289" s="513" t="str">
        <f t="shared" si="30"/>
        <v>O .</v>
      </c>
      <c r="B289" s="514" t="s">
        <v>612</v>
      </c>
      <c r="C289" s="526"/>
      <c r="D289" s="527"/>
      <c r="E289" s="578" t="s">
        <v>1189</v>
      </c>
      <c r="F289" s="517" t="s">
        <v>1066</v>
      </c>
      <c r="G289" s="524">
        <v>0</v>
      </c>
      <c r="H289" s="528">
        <v>0</v>
      </c>
      <c r="I289" s="520">
        <f>+J289-(G289+H289)</f>
        <v>20000</v>
      </c>
      <c r="J289" s="529">
        <v>20000</v>
      </c>
      <c r="K289" s="530">
        <f>+$K289*$L$5</f>
        <v>24000</v>
      </c>
      <c r="L289" s="1"/>
      <c r="M289" s="1"/>
      <c r="N289" s="1"/>
      <c r="O289" s="1"/>
      <c r="P289" s="1"/>
    </row>
    <row r="290" spans="1:16" ht="105">
      <c r="A290" s="513"/>
      <c r="B290" s="514"/>
      <c r="C290" s="526"/>
      <c r="D290" s="527"/>
      <c r="E290" s="578" t="s">
        <v>1190</v>
      </c>
      <c r="F290" s="517"/>
      <c r="G290" s="518"/>
      <c r="H290" s="519"/>
      <c r="I290" s="573"/>
      <c r="J290" s="529"/>
      <c r="K290" s="530"/>
      <c r="L290" s="1"/>
      <c r="M290" s="1"/>
      <c r="N290" s="1"/>
      <c r="O290" s="1"/>
      <c r="P290" s="1"/>
    </row>
    <row r="291" spans="1:16" ht="26.25">
      <c r="A291" s="513" t="str">
        <f>+A289</f>
        <v>O .</v>
      </c>
      <c r="B291" s="514" t="s">
        <v>616</v>
      </c>
      <c r="C291" s="526"/>
      <c r="D291" s="527"/>
      <c r="E291" s="578" t="s">
        <v>1484</v>
      </c>
      <c r="F291" s="517" t="s">
        <v>1139</v>
      </c>
      <c r="G291" s="524">
        <v>0</v>
      </c>
      <c r="H291" s="528">
        <v>0</v>
      </c>
      <c r="I291" s="520">
        <f>+J291-(G291+H291)</f>
        <v>11550</v>
      </c>
      <c r="J291" s="529">
        <v>11550</v>
      </c>
      <c r="K291" s="530">
        <f>+$K291*$L$5</f>
        <v>13860</v>
      </c>
      <c r="L291" s="1"/>
      <c r="M291" s="1"/>
      <c r="N291" s="1"/>
      <c r="O291" s="1"/>
      <c r="P291" s="1"/>
    </row>
    <row r="292" spans="1:16" ht="26.25">
      <c r="A292" s="513" t="str">
        <f t="shared" si="30"/>
        <v>O .</v>
      </c>
      <c r="B292" s="514" t="s">
        <v>619</v>
      </c>
      <c r="C292" s="526"/>
      <c r="D292" s="527"/>
      <c r="E292" s="578" t="s">
        <v>1485</v>
      </c>
      <c r="F292" s="517" t="s">
        <v>1139</v>
      </c>
      <c r="G292" s="524">
        <v>0</v>
      </c>
      <c r="H292" s="528">
        <v>0</v>
      </c>
      <c r="I292" s="520">
        <f>+J292-(G292+H292)</f>
        <v>17325</v>
      </c>
      <c r="J292" s="529">
        <v>17325</v>
      </c>
      <c r="K292" s="530">
        <f>+$K292*$L$5</f>
        <v>20790</v>
      </c>
      <c r="L292" s="1"/>
      <c r="M292" s="1"/>
      <c r="N292" s="1"/>
      <c r="O292" s="1"/>
      <c r="P292" s="1"/>
    </row>
    <row r="293" spans="1:16" ht="52.5">
      <c r="A293" s="513" t="str">
        <f t="shared" si="30"/>
        <v>O .</v>
      </c>
      <c r="B293" s="514" t="s">
        <v>622</v>
      </c>
      <c r="C293" s="526"/>
      <c r="D293" s="527"/>
      <c r="E293" s="578" t="s">
        <v>1486</v>
      </c>
      <c r="F293" s="517" t="s">
        <v>1139</v>
      </c>
      <c r="G293" s="524">
        <v>0</v>
      </c>
      <c r="H293" s="528">
        <v>0</v>
      </c>
      <c r="I293" s="520">
        <f>+J293-(G293+H293)</f>
        <v>23100</v>
      </c>
      <c r="J293" s="529">
        <v>23100</v>
      </c>
      <c r="K293" s="530">
        <f>+$K293*$L$5</f>
        <v>27720</v>
      </c>
      <c r="L293" s="1"/>
      <c r="M293" s="1"/>
      <c r="N293" s="1"/>
      <c r="O293" s="1"/>
      <c r="P293" s="1"/>
    </row>
    <row r="294" spans="1:16" ht="26.25">
      <c r="A294" s="513" t="str">
        <f t="shared" si="30"/>
        <v>O .</v>
      </c>
      <c r="B294" s="514" t="s">
        <v>625</v>
      </c>
      <c r="C294" s="526"/>
      <c r="D294" s="527"/>
      <c r="E294" s="578" t="s">
        <v>1191</v>
      </c>
      <c r="F294" s="517" t="s">
        <v>1139</v>
      </c>
      <c r="G294" s="524">
        <v>0</v>
      </c>
      <c r="H294" s="528">
        <v>0</v>
      </c>
      <c r="I294" s="520">
        <f>+J294-(G294+H294)</f>
        <v>28875</v>
      </c>
      <c r="J294" s="529">
        <v>28875</v>
      </c>
      <c r="K294" s="530">
        <f>+$K294*$L$5</f>
        <v>34650</v>
      </c>
      <c r="L294" s="1"/>
      <c r="M294" s="1"/>
      <c r="N294" s="1"/>
      <c r="O294" s="1"/>
      <c r="P294" s="1"/>
    </row>
    <row r="295" spans="1:16" ht="52.5">
      <c r="A295" s="513"/>
      <c r="B295" s="514"/>
      <c r="C295" s="526"/>
      <c r="D295" s="527"/>
      <c r="E295" s="578" t="s">
        <v>1192</v>
      </c>
      <c r="F295" s="517"/>
      <c r="G295" s="518"/>
      <c r="H295" s="519"/>
      <c r="I295" s="573"/>
      <c r="J295" s="529"/>
      <c r="K295" s="530"/>
      <c r="L295" s="1"/>
      <c r="M295" s="1"/>
      <c r="N295" s="1"/>
      <c r="O295" s="1"/>
      <c r="P295" s="1"/>
    </row>
    <row r="296" spans="1:16" ht="26.25">
      <c r="A296" s="513" t="str">
        <f>+A294</f>
        <v>O .</v>
      </c>
      <c r="B296" s="514" t="s">
        <v>630</v>
      </c>
      <c r="C296" s="526"/>
      <c r="D296" s="527"/>
      <c r="E296" s="578" t="s">
        <v>1484</v>
      </c>
      <c r="F296" s="517" t="s">
        <v>1066</v>
      </c>
      <c r="G296" s="524">
        <v>0</v>
      </c>
      <c r="H296" s="528">
        <v>0</v>
      </c>
      <c r="I296" s="520">
        <f>+J296-(G296+H296)</f>
        <v>1155</v>
      </c>
      <c r="J296" s="529">
        <v>1155</v>
      </c>
      <c r="K296" s="530">
        <f>+$K296*$L$5</f>
        <v>1386</v>
      </c>
      <c r="L296" s="1"/>
      <c r="M296" s="1"/>
      <c r="N296" s="1"/>
      <c r="O296" s="1"/>
      <c r="P296" s="1"/>
    </row>
    <row r="297" spans="1:16" ht="26.25">
      <c r="A297" s="513" t="str">
        <f t="shared" si="30"/>
        <v>O .</v>
      </c>
      <c r="B297" s="514" t="s">
        <v>633</v>
      </c>
      <c r="C297" s="526"/>
      <c r="D297" s="527"/>
      <c r="E297" s="578" t="s">
        <v>1485</v>
      </c>
      <c r="F297" s="517" t="s">
        <v>1066</v>
      </c>
      <c r="G297" s="524">
        <v>0</v>
      </c>
      <c r="H297" s="528">
        <v>0</v>
      </c>
      <c r="I297" s="520">
        <f>+J297-(G297+H297)</f>
        <v>1732</v>
      </c>
      <c r="J297" s="529">
        <v>1732</v>
      </c>
      <c r="K297" s="530">
        <f>+$K297*$L$5</f>
        <v>2078.4</v>
      </c>
      <c r="L297" s="1"/>
      <c r="M297" s="1"/>
      <c r="N297" s="1"/>
      <c r="O297" s="1"/>
      <c r="P297" s="1"/>
    </row>
    <row r="298" spans="1:16" ht="52.5">
      <c r="A298" s="513" t="str">
        <f t="shared" si="30"/>
        <v>O .</v>
      </c>
      <c r="B298" s="514" t="s">
        <v>635</v>
      </c>
      <c r="C298" s="526"/>
      <c r="D298" s="527"/>
      <c r="E298" s="578" t="s">
        <v>1486</v>
      </c>
      <c r="F298" s="517" t="s">
        <v>1066</v>
      </c>
      <c r="G298" s="524">
        <v>0</v>
      </c>
      <c r="H298" s="528">
        <v>0</v>
      </c>
      <c r="I298" s="520">
        <f>+J298-(G298+H298)</f>
        <v>2310</v>
      </c>
      <c r="J298" s="529">
        <v>2310</v>
      </c>
      <c r="K298" s="530">
        <f>+$K298*$L$5</f>
        <v>2772</v>
      </c>
      <c r="L298" s="1"/>
      <c r="M298" s="1"/>
      <c r="N298" s="1"/>
      <c r="O298" s="1"/>
      <c r="P298" s="1"/>
    </row>
    <row r="299" spans="1:16" ht="26.25">
      <c r="A299" s="513" t="str">
        <f t="shared" si="30"/>
        <v>O .</v>
      </c>
      <c r="B299" s="514" t="s">
        <v>679</v>
      </c>
      <c r="C299" s="526"/>
      <c r="D299" s="527"/>
      <c r="E299" s="578" t="s">
        <v>1191</v>
      </c>
      <c r="F299" s="517" t="s">
        <v>1066</v>
      </c>
      <c r="G299" s="524">
        <v>0</v>
      </c>
      <c r="H299" s="528">
        <v>0</v>
      </c>
      <c r="I299" s="520">
        <f>+J299-(G299+H299)</f>
        <v>2888</v>
      </c>
      <c r="J299" s="529">
        <v>2888</v>
      </c>
      <c r="K299" s="530">
        <f>+$K299*$L$5</f>
        <v>3465.6</v>
      </c>
      <c r="L299" s="1"/>
      <c r="M299" s="1"/>
      <c r="N299" s="1"/>
      <c r="O299" s="1"/>
      <c r="P299" s="1"/>
    </row>
    <row r="300" spans="1:16" ht="26.25">
      <c r="A300" s="575"/>
      <c r="B300" s="673"/>
      <c r="C300" s="533"/>
      <c r="D300" s="534"/>
      <c r="E300" s="579"/>
      <c r="F300" s="566"/>
      <c r="G300" s="567"/>
      <c r="H300" s="568"/>
      <c r="I300" s="561"/>
      <c r="J300" s="539"/>
      <c r="K300" s="540"/>
      <c r="L300" s="1"/>
      <c r="M300" s="1"/>
      <c r="N300" s="1"/>
      <c r="O300" s="1"/>
      <c r="P300" s="1"/>
    </row>
    <row r="301" spans="1:16" ht="77.25" thickBot="1">
      <c r="A301" s="831" t="s">
        <v>1193</v>
      </c>
      <c r="B301" s="832"/>
      <c r="C301" s="665"/>
      <c r="D301" s="666"/>
      <c r="E301" s="744" t="s">
        <v>1194</v>
      </c>
      <c r="F301" s="621"/>
      <c r="G301" s="622"/>
      <c r="H301" s="623"/>
      <c r="I301" s="624"/>
      <c r="J301" s="667"/>
      <c r="K301" s="668"/>
      <c r="L301" s="1"/>
      <c r="M301" s="1"/>
      <c r="N301" s="1"/>
      <c r="O301" s="1"/>
      <c r="P301" s="1"/>
    </row>
    <row r="302" spans="1:16" ht="26.25">
      <c r="A302" s="575"/>
      <c r="B302" s="674"/>
      <c r="C302" s="669"/>
      <c r="D302" s="670"/>
      <c r="E302" s="745"/>
      <c r="F302" s="626"/>
      <c r="G302" s="627"/>
      <c r="H302" s="628"/>
      <c r="I302" s="629"/>
      <c r="J302" s="671"/>
      <c r="K302" s="672"/>
      <c r="L302" s="1"/>
      <c r="M302" s="1"/>
      <c r="N302" s="1"/>
      <c r="O302" s="1"/>
      <c r="P302" s="1"/>
    </row>
    <row r="303" spans="1:16" ht="78.75">
      <c r="A303" s="513" t="str">
        <f>+A301</f>
        <v>P .</v>
      </c>
      <c r="B303" s="675" t="s">
        <v>594</v>
      </c>
      <c r="C303" s="526"/>
      <c r="D303" s="527"/>
      <c r="E303" s="578" t="s">
        <v>1195</v>
      </c>
      <c r="F303" s="676" t="s">
        <v>611</v>
      </c>
      <c r="G303" s="677"/>
      <c r="H303" s="678"/>
      <c r="I303" s="679"/>
      <c r="J303" s="529">
        <v>55000</v>
      </c>
      <c r="K303" s="530">
        <f aca="true" t="shared" si="31" ref="K303:K319">+$K303*$L$5</f>
        <v>66000</v>
      </c>
      <c r="L303" s="1"/>
      <c r="M303" s="1"/>
      <c r="N303" s="1"/>
      <c r="O303" s="1"/>
      <c r="P303" s="1"/>
    </row>
    <row r="304" spans="1:16" ht="26.25">
      <c r="A304" s="513" t="str">
        <f>+A303</f>
        <v>P .</v>
      </c>
      <c r="B304" s="675" t="s">
        <v>598</v>
      </c>
      <c r="C304" s="526"/>
      <c r="D304" s="527"/>
      <c r="E304" s="578" t="s">
        <v>1196</v>
      </c>
      <c r="F304" s="676" t="s">
        <v>1197</v>
      </c>
      <c r="G304" s="524">
        <v>0</v>
      </c>
      <c r="H304" s="528">
        <v>0</v>
      </c>
      <c r="I304" s="520">
        <f aca="true" t="shared" si="32" ref="I304:I313">+J304-(G304+H304)</f>
        <v>550</v>
      </c>
      <c r="J304" s="529">
        <v>550</v>
      </c>
      <c r="K304" s="530">
        <f t="shared" si="31"/>
        <v>660</v>
      </c>
      <c r="L304" s="1"/>
      <c r="M304" s="1"/>
      <c r="N304" s="1"/>
      <c r="O304" s="1"/>
      <c r="P304" s="1"/>
    </row>
    <row r="305" spans="1:16" ht="26.25">
      <c r="A305" s="513" t="str">
        <f aca="true" t="shared" si="33" ref="A305:A319">+A304</f>
        <v>P .</v>
      </c>
      <c r="B305" s="675" t="s">
        <v>603</v>
      </c>
      <c r="C305" s="526"/>
      <c r="D305" s="527"/>
      <c r="E305" s="578" t="s">
        <v>1198</v>
      </c>
      <c r="F305" s="676" t="s">
        <v>1197</v>
      </c>
      <c r="G305" s="524">
        <v>0</v>
      </c>
      <c r="H305" s="528">
        <v>0</v>
      </c>
      <c r="I305" s="520">
        <f t="shared" si="32"/>
        <v>586.56</v>
      </c>
      <c r="J305" s="671">
        <v>586.56</v>
      </c>
      <c r="K305" s="672">
        <f t="shared" si="31"/>
        <v>703.872</v>
      </c>
      <c r="L305" s="1"/>
      <c r="M305" s="1"/>
      <c r="N305" s="1"/>
      <c r="O305" s="1"/>
      <c r="P305" s="1"/>
    </row>
    <row r="306" spans="1:16" ht="52.5">
      <c r="A306" s="513" t="str">
        <f t="shared" si="33"/>
        <v>P .</v>
      </c>
      <c r="B306" s="675" t="s">
        <v>607</v>
      </c>
      <c r="C306" s="526"/>
      <c r="D306" s="527"/>
      <c r="E306" s="578" t="s">
        <v>1199</v>
      </c>
      <c r="F306" s="676" t="s">
        <v>1197</v>
      </c>
      <c r="G306" s="524">
        <v>0</v>
      </c>
      <c r="H306" s="528">
        <v>0</v>
      </c>
      <c r="I306" s="520">
        <f t="shared" si="32"/>
        <v>1911.75</v>
      </c>
      <c r="J306" s="529">
        <v>1911.75</v>
      </c>
      <c r="K306" s="530">
        <f t="shared" si="31"/>
        <v>2294.1</v>
      </c>
      <c r="L306" s="1"/>
      <c r="M306" s="1"/>
      <c r="N306" s="1"/>
      <c r="O306" s="1"/>
      <c r="P306" s="1"/>
    </row>
    <row r="307" spans="1:16" ht="26.25">
      <c r="A307" s="513" t="str">
        <f t="shared" si="33"/>
        <v>P .</v>
      </c>
      <c r="B307" s="675" t="s">
        <v>612</v>
      </c>
      <c r="C307" s="526"/>
      <c r="D307" s="527"/>
      <c r="E307" s="578" t="s">
        <v>1200</v>
      </c>
      <c r="F307" s="676" t="s">
        <v>1197</v>
      </c>
      <c r="G307" s="524">
        <v>0</v>
      </c>
      <c r="H307" s="528">
        <v>0</v>
      </c>
      <c r="I307" s="520">
        <f t="shared" si="32"/>
        <v>1911.75</v>
      </c>
      <c r="J307" s="529">
        <v>1911.75</v>
      </c>
      <c r="K307" s="530">
        <f t="shared" si="31"/>
        <v>2294.1</v>
      </c>
      <c r="L307" s="1"/>
      <c r="M307" s="1"/>
      <c r="N307" s="1"/>
      <c r="O307" s="1"/>
      <c r="P307" s="1"/>
    </row>
    <row r="308" spans="1:16" ht="236.25">
      <c r="A308" s="513" t="str">
        <f t="shared" si="33"/>
        <v>P .</v>
      </c>
      <c r="B308" s="675" t="s">
        <v>616</v>
      </c>
      <c r="C308" s="526"/>
      <c r="D308" s="527"/>
      <c r="E308" s="578" t="s">
        <v>1201</v>
      </c>
      <c r="F308" s="676" t="s">
        <v>1197</v>
      </c>
      <c r="G308" s="524">
        <v>0</v>
      </c>
      <c r="H308" s="528">
        <v>0</v>
      </c>
      <c r="I308" s="520">
        <f t="shared" si="32"/>
        <v>16500</v>
      </c>
      <c r="J308" s="529">
        <v>16500</v>
      </c>
      <c r="K308" s="530">
        <f t="shared" si="31"/>
        <v>19800</v>
      </c>
      <c r="L308" s="1"/>
      <c r="M308" s="1"/>
      <c r="N308" s="1"/>
      <c r="O308" s="1"/>
      <c r="P308" s="1"/>
    </row>
    <row r="309" spans="1:16" ht="52.5">
      <c r="A309" s="513" t="str">
        <f t="shared" si="33"/>
        <v>P .</v>
      </c>
      <c r="B309" s="675" t="s">
        <v>619</v>
      </c>
      <c r="C309" s="526"/>
      <c r="D309" s="527"/>
      <c r="E309" s="578" t="s">
        <v>1202</v>
      </c>
      <c r="F309" s="676" t="s">
        <v>1197</v>
      </c>
      <c r="G309" s="524">
        <v>0</v>
      </c>
      <c r="H309" s="528">
        <v>0</v>
      </c>
      <c r="I309" s="520">
        <f t="shared" si="32"/>
        <v>4110.48</v>
      </c>
      <c r="J309" s="529">
        <v>4110.48</v>
      </c>
      <c r="K309" s="530">
        <f t="shared" si="31"/>
        <v>4932.575999999999</v>
      </c>
      <c r="L309" s="1"/>
      <c r="M309" s="1"/>
      <c r="N309" s="1"/>
      <c r="O309" s="1"/>
      <c r="P309" s="1"/>
    </row>
    <row r="310" spans="1:16" ht="52.5">
      <c r="A310" s="513" t="str">
        <f t="shared" si="33"/>
        <v>P .</v>
      </c>
      <c r="B310" s="675" t="s">
        <v>622</v>
      </c>
      <c r="C310" s="526"/>
      <c r="D310" s="527"/>
      <c r="E310" s="578" t="s">
        <v>1203</v>
      </c>
      <c r="F310" s="676" t="s">
        <v>1197</v>
      </c>
      <c r="G310" s="524">
        <v>0</v>
      </c>
      <c r="H310" s="528">
        <v>0</v>
      </c>
      <c r="I310" s="520">
        <f t="shared" si="32"/>
        <v>6185</v>
      </c>
      <c r="J310" s="529">
        <v>6185</v>
      </c>
      <c r="K310" s="530">
        <f t="shared" si="31"/>
        <v>7422</v>
      </c>
      <c r="L310" s="1"/>
      <c r="M310" s="1"/>
      <c r="N310" s="1"/>
      <c r="O310" s="1"/>
      <c r="P310" s="1"/>
    </row>
    <row r="311" spans="1:16" ht="52.5">
      <c r="A311" s="513" t="str">
        <f t="shared" si="33"/>
        <v>P .</v>
      </c>
      <c r="B311" s="675" t="s">
        <v>625</v>
      </c>
      <c r="C311" s="526"/>
      <c r="D311" s="527"/>
      <c r="E311" s="578" t="s">
        <v>1204</v>
      </c>
      <c r="F311" s="676" t="s">
        <v>611</v>
      </c>
      <c r="G311" s="524">
        <v>0</v>
      </c>
      <c r="H311" s="528">
        <v>0</v>
      </c>
      <c r="I311" s="520">
        <f t="shared" si="32"/>
        <v>345</v>
      </c>
      <c r="J311" s="529">
        <v>345</v>
      </c>
      <c r="K311" s="530">
        <f t="shared" si="31"/>
        <v>414</v>
      </c>
      <c r="L311" s="1"/>
      <c r="M311" s="1"/>
      <c r="N311" s="1"/>
      <c r="O311" s="1"/>
      <c r="P311" s="1"/>
    </row>
    <row r="312" spans="1:16" ht="52.5">
      <c r="A312" s="513" t="str">
        <f t="shared" si="33"/>
        <v>P .</v>
      </c>
      <c r="B312" s="675" t="s">
        <v>628</v>
      </c>
      <c r="C312" s="526"/>
      <c r="D312" s="527"/>
      <c r="E312" s="578" t="s">
        <v>1205</v>
      </c>
      <c r="F312" s="676" t="s">
        <v>1132</v>
      </c>
      <c r="G312" s="524">
        <v>0</v>
      </c>
      <c r="H312" s="528">
        <v>0</v>
      </c>
      <c r="I312" s="520">
        <f t="shared" si="32"/>
        <v>9560</v>
      </c>
      <c r="J312" s="529">
        <v>9560</v>
      </c>
      <c r="K312" s="530">
        <f t="shared" si="31"/>
        <v>11472</v>
      </c>
      <c r="L312" s="1"/>
      <c r="M312" s="1"/>
      <c r="N312" s="1"/>
      <c r="O312" s="1"/>
      <c r="P312" s="1"/>
    </row>
    <row r="313" spans="1:16" ht="78.75">
      <c r="A313" s="513" t="str">
        <f t="shared" si="33"/>
        <v>P .</v>
      </c>
      <c r="B313" s="675" t="s">
        <v>630</v>
      </c>
      <c r="C313" s="526"/>
      <c r="D313" s="527"/>
      <c r="E313" s="578" t="s">
        <v>1206</v>
      </c>
      <c r="F313" s="676" t="s">
        <v>611</v>
      </c>
      <c r="G313" s="524">
        <v>0</v>
      </c>
      <c r="H313" s="528">
        <v>0</v>
      </c>
      <c r="I313" s="520">
        <f t="shared" si="32"/>
        <v>13450</v>
      </c>
      <c r="J313" s="529">
        <v>13450</v>
      </c>
      <c r="K313" s="530">
        <f t="shared" si="31"/>
        <v>16140</v>
      </c>
      <c r="L313" s="1"/>
      <c r="M313" s="1"/>
      <c r="N313" s="1"/>
      <c r="O313" s="1"/>
      <c r="P313" s="1"/>
    </row>
    <row r="314" spans="1:16" ht="52.5">
      <c r="A314" s="513" t="str">
        <f t="shared" si="33"/>
        <v>P .</v>
      </c>
      <c r="B314" s="675" t="s">
        <v>633</v>
      </c>
      <c r="C314" s="526"/>
      <c r="D314" s="527"/>
      <c r="E314" s="578" t="s">
        <v>1207</v>
      </c>
      <c r="F314" s="676" t="s">
        <v>802</v>
      </c>
      <c r="G314" s="677">
        <v>600</v>
      </c>
      <c r="H314" s="528">
        <v>0</v>
      </c>
      <c r="I314" s="679">
        <v>90</v>
      </c>
      <c r="J314" s="529">
        <v>690</v>
      </c>
      <c r="K314" s="530">
        <f t="shared" si="31"/>
        <v>828</v>
      </c>
      <c r="L314" s="1"/>
      <c r="M314" s="1"/>
      <c r="N314" s="1"/>
      <c r="O314" s="1"/>
      <c r="P314" s="1"/>
    </row>
    <row r="315" spans="1:16" ht="26.25">
      <c r="A315" s="513" t="str">
        <f t="shared" si="33"/>
        <v>P .</v>
      </c>
      <c r="B315" s="675" t="s">
        <v>635</v>
      </c>
      <c r="C315" s="526"/>
      <c r="D315" s="527"/>
      <c r="E315" s="578" t="s">
        <v>1208</v>
      </c>
      <c r="F315" s="676" t="s">
        <v>1197</v>
      </c>
      <c r="G315" s="524">
        <v>0</v>
      </c>
      <c r="H315" s="528">
        <v>0</v>
      </c>
      <c r="I315" s="520">
        <f>+J315-(G315+H315)</f>
        <v>2750</v>
      </c>
      <c r="J315" s="529">
        <v>2750</v>
      </c>
      <c r="K315" s="530">
        <f t="shared" si="31"/>
        <v>3300</v>
      </c>
      <c r="L315" s="1"/>
      <c r="M315" s="1"/>
      <c r="N315" s="1"/>
      <c r="O315" s="1"/>
      <c r="P315" s="1"/>
    </row>
    <row r="316" spans="1:16" ht="26.25">
      <c r="A316" s="513" t="str">
        <f t="shared" si="33"/>
        <v>P .</v>
      </c>
      <c r="B316" s="675" t="s">
        <v>679</v>
      </c>
      <c r="C316" s="526"/>
      <c r="D316" s="527"/>
      <c r="E316" s="578" t="s">
        <v>1209</v>
      </c>
      <c r="F316" s="517" t="s">
        <v>1468</v>
      </c>
      <c r="G316" s="524">
        <v>0</v>
      </c>
      <c r="H316" s="528">
        <v>0</v>
      </c>
      <c r="I316" s="520">
        <f>+J316-(G316+H316)</f>
        <v>345</v>
      </c>
      <c r="J316" s="529">
        <v>345</v>
      </c>
      <c r="K316" s="530">
        <f t="shared" si="31"/>
        <v>414</v>
      </c>
      <c r="L316" s="1"/>
      <c r="M316" s="1"/>
      <c r="N316" s="1"/>
      <c r="O316" s="1"/>
      <c r="P316" s="1"/>
    </row>
    <row r="317" spans="1:16" ht="26.25">
      <c r="A317" s="513" t="str">
        <f t="shared" si="33"/>
        <v>P .</v>
      </c>
      <c r="B317" s="675" t="s">
        <v>683</v>
      </c>
      <c r="C317" s="526"/>
      <c r="D317" s="527"/>
      <c r="E317" s="578" t="s">
        <v>1210</v>
      </c>
      <c r="F317" s="517" t="s">
        <v>1468</v>
      </c>
      <c r="G317" s="524">
        <v>0</v>
      </c>
      <c r="H317" s="528">
        <v>0</v>
      </c>
      <c r="I317" s="520">
        <f>+J317-(G317+H317)</f>
        <v>550</v>
      </c>
      <c r="J317" s="529">
        <v>550</v>
      </c>
      <c r="K317" s="530">
        <f t="shared" si="31"/>
        <v>660</v>
      </c>
      <c r="L317" s="1"/>
      <c r="M317" s="1"/>
      <c r="N317" s="1"/>
      <c r="O317" s="1"/>
      <c r="P317" s="1"/>
    </row>
    <row r="318" spans="1:16" ht="26.25">
      <c r="A318" s="513" t="str">
        <f t="shared" si="33"/>
        <v>P .</v>
      </c>
      <c r="B318" s="675" t="s">
        <v>687</v>
      </c>
      <c r="C318" s="526"/>
      <c r="D318" s="527"/>
      <c r="E318" s="578" t="s">
        <v>1211</v>
      </c>
      <c r="F318" s="517" t="s">
        <v>1468</v>
      </c>
      <c r="G318" s="524">
        <v>0</v>
      </c>
      <c r="H318" s="528">
        <v>0</v>
      </c>
      <c r="I318" s="520">
        <f>+J318-(G318+H318)</f>
        <v>506</v>
      </c>
      <c r="J318" s="529">
        <v>506</v>
      </c>
      <c r="K318" s="530">
        <f t="shared" si="31"/>
        <v>607.1999999999999</v>
      </c>
      <c r="L318" s="1"/>
      <c r="M318" s="1"/>
      <c r="N318" s="1"/>
      <c r="O318" s="1"/>
      <c r="P318" s="1"/>
    </row>
    <row r="319" spans="1:16" ht="26.25">
      <c r="A319" s="513" t="str">
        <f t="shared" si="33"/>
        <v>P .</v>
      </c>
      <c r="B319" s="675" t="s">
        <v>691</v>
      </c>
      <c r="C319" s="526"/>
      <c r="D319" s="527"/>
      <c r="E319" s="578" t="s">
        <v>1212</v>
      </c>
      <c r="F319" s="676" t="s">
        <v>1213</v>
      </c>
      <c r="G319" s="677">
        <v>400</v>
      </c>
      <c r="H319" s="528">
        <v>0</v>
      </c>
      <c r="I319" s="679">
        <v>40</v>
      </c>
      <c r="J319" s="529">
        <v>440</v>
      </c>
      <c r="K319" s="530">
        <f t="shared" si="31"/>
        <v>528</v>
      </c>
      <c r="L319" s="1"/>
      <c r="M319" s="1"/>
      <c r="N319" s="1"/>
      <c r="O319" s="1"/>
      <c r="P319" s="1"/>
    </row>
    <row r="320" spans="1:16" ht="26.25">
      <c r="A320" s="575"/>
      <c r="B320" s="673"/>
      <c r="C320" s="533"/>
      <c r="D320" s="534"/>
      <c r="E320" s="579"/>
      <c r="F320" s="680"/>
      <c r="G320" s="681"/>
      <c r="H320" s="682"/>
      <c r="I320" s="683"/>
      <c r="J320" s="539"/>
      <c r="K320" s="540"/>
      <c r="L320" s="1"/>
      <c r="M320" s="1"/>
      <c r="N320" s="1"/>
      <c r="O320" s="1"/>
      <c r="P320" s="1"/>
    </row>
    <row r="321" spans="1:16" ht="51.75" thickBot="1">
      <c r="A321" s="829" t="s">
        <v>1214</v>
      </c>
      <c r="B321" s="830"/>
      <c r="C321" s="665"/>
      <c r="D321" s="666"/>
      <c r="E321" s="746" t="s">
        <v>1215</v>
      </c>
      <c r="F321" s="621"/>
      <c r="G321" s="622"/>
      <c r="H321" s="623"/>
      <c r="I321" s="624"/>
      <c r="J321" s="667"/>
      <c r="K321" s="668"/>
      <c r="L321" s="1"/>
      <c r="M321" s="1"/>
      <c r="N321" s="1"/>
      <c r="O321" s="1"/>
      <c r="P321" s="1"/>
    </row>
    <row r="322" spans="1:16" ht="26.25">
      <c r="A322" s="575"/>
      <c r="B322" s="643"/>
      <c r="C322" s="669"/>
      <c r="D322" s="670"/>
      <c r="E322" s="747"/>
      <c r="F322" s="626"/>
      <c r="G322" s="627"/>
      <c r="H322" s="628"/>
      <c r="I322" s="629"/>
      <c r="J322" s="671"/>
      <c r="K322" s="672"/>
      <c r="L322" s="1"/>
      <c r="M322" s="1"/>
      <c r="N322" s="1"/>
      <c r="O322" s="1"/>
      <c r="P322" s="1"/>
    </row>
    <row r="323" spans="1:16" ht="26.25">
      <c r="A323" s="513" t="str">
        <f>+A321</f>
        <v>R .</v>
      </c>
      <c r="B323" s="514" t="s">
        <v>594</v>
      </c>
      <c r="C323" s="526"/>
      <c r="D323" s="527"/>
      <c r="E323" s="578" t="s">
        <v>1216</v>
      </c>
      <c r="F323" s="517" t="s">
        <v>1066</v>
      </c>
      <c r="G323" s="524">
        <v>0</v>
      </c>
      <c r="H323" s="528">
        <v>0</v>
      </c>
      <c r="I323" s="520">
        <f aca="true" t="shared" si="34" ref="I323:I342">+J323-(G323+H323)</f>
        <v>42000</v>
      </c>
      <c r="J323" s="529">
        <v>42000</v>
      </c>
      <c r="K323" s="530">
        <f aca="true" t="shared" si="35" ref="K323:K342">+$K323*$L$5</f>
        <v>50400</v>
      </c>
      <c r="L323" s="1"/>
      <c r="M323" s="1"/>
      <c r="N323" s="1"/>
      <c r="O323" s="1"/>
      <c r="P323" s="1"/>
    </row>
    <row r="324" spans="1:16" ht="26.25">
      <c r="A324" s="513" t="str">
        <f>+A323</f>
        <v>R .</v>
      </c>
      <c r="B324" s="514" t="s">
        <v>598</v>
      </c>
      <c r="C324" s="526"/>
      <c r="D324" s="527"/>
      <c r="E324" s="578" t="s">
        <v>1216</v>
      </c>
      <c r="F324" s="517" t="s">
        <v>1132</v>
      </c>
      <c r="G324" s="524">
        <v>0</v>
      </c>
      <c r="H324" s="528">
        <v>0</v>
      </c>
      <c r="I324" s="520">
        <f t="shared" si="34"/>
        <v>138000</v>
      </c>
      <c r="J324" s="529">
        <v>138000</v>
      </c>
      <c r="K324" s="530">
        <f t="shared" si="35"/>
        <v>165600</v>
      </c>
      <c r="L324" s="1"/>
      <c r="M324" s="1"/>
      <c r="N324" s="1"/>
      <c r="O324" s="1"/>
      <c r="P324" s="1"/>
    </row>
    <row r="325" spans="1:16" ht="52.5">
      <c r="A325" s="513" t="str">
        <f aca="true" t="shared" si="36" ref="A325:A342">+A324</f>
        <v>R .</v>
      </c>
      <c r="B325" s="514" t="s">
        <v>603</v>
      </c>
      <c r="C325" s="526"/>
      <c r="D325" s="527"/>
      <c r="E325" s="578" t="s">
        <v>1217</v>
      </c>
      <c r="F325" s="517" t="s">
        <v>1066</v>
      </c>
      <c r="G325" s="524">
        <v>0</v>
      </c>
      <c r="H325" s="528">
        <v>0</v>
      </c>
      <c r="I325" s="520">
        <f t="shared" si="34"/>
        <v>6900</v>
      </c>
      <c r="J325" s="529">
        <v>6900</v>
      </c>
      <c r="K325" s="530">
        <f t="shared" si="35"/>
        <v>8280</v>
      </c>
      <c r="L325" s="1"/>
      <c r="M325" s="1"/>
      <c r="N325" s="1"/>
      <c r="O325" s="1"/>
      <c r="P325" s="1"/>
    </row>
    <row r="326" spans="1:16" ht="52.5">
      <c r="A326" s="513" t="str">
        <f t="shared" si="36"/>
        <v>R .</v>
      </c>
      <c r="B326" s="514" t="s">
        <v>607</v>
      </c>
      <c r="C326" s="526"/>
      <c r="D326" s="527"/>
      <c r="E326" s="578" t="s">
        <v>1217</v>
      </c>
      <c r="F326" s="517" t="s">
        <v>1132</v>
      </c>
      <c r="G326" s="524">
        <v>0</v>
      </c>
      <c r="H326" s="528">
        <v>0</v>
      </c>
      <c r="I326" s="520">
        <f t="shared" si="34"/>
        <v>27600</v>
      </c>
      <c r="J326" s="529">
        <v>27600</v>
      </c>
      <c r="K326" s="530">
        <f t="shared" si="35"/>
        <v>33120</v>
      </c>
      <c r="L326" s="1"/>
      <c r="M326" s="1"/>
      <c r="N326" s="1"/>
      <c r="O326" s="1"/>
      <c r="P326" s="1"/>
    </row>
    <row r="327" spans="1:16" ht="52.5">
      <c r="A327" s="513" t="str">
        <f t="shared" si="36"/>
        <v>R .</v>
      </c>
      <c r="B327" s="514" t="s">
        <v>612</v>
      </c>
      <c r="C327" s="526"/>
      <c r="D327" s="527"/>
      <c r="E327" s="578" t="s">
        <v>1218</v>
      </c>
      <c r="F327" s="517" t="s">
        <v>1066</v>
      </c>
      <c r="G327" s="524">
        <v>0</v>
      </c>
      <c r="H327" s="528">
        <v>0</v>
      </c>
      <c r="I327" s="520">
        <f t="shared" si="34"/>
        <v>13800</v>
      </c>
      <c r="J327" s="529">
        <v>13800</v>
      </c>
      <c r="K327" s="530">
        <f t="shared" si="35"/>
        <v>16560</v>
      </c>
      <c r="L327" s="1"/>
      <c r="M327" s="1"/>
      <c r="N327" s="1"/>
      <c r="O327" s="1"/>
      <c r="P327" s="1"/>
    </row>
    <row r="328" spans="1:16" ht="52.5">
      <c r="A328" s="513" t="str">
        <f t="shared" si="36"/>
        <v>R .</v>
      </c>
      <c r="B328" s="514" t="s">
        <v>616</v>
      </c>
      <c r="C328" s="526"/>
      <c r="D328" s="527"/>
      <c r="E328" s="578" t="s">
        <v>1218</v>
      </c>
      <c r="F328" s="517" t="s">
        <v>1132</v>
      </c>
      <c r="G328" s="524">
        <v>0</v>
      </c>
      <c r="H328" s="528">
        <v>0</v>
      </c>
      <c r="I328" s="520">
        <f t="shared" si="34"/>
        <v>55200</v>
      </c>
      <c r="J328" s="529">
        <v>55200</v>
      </c>
      <c r="K328" s="530">
        <f t="shared" si="35"/>
        <v>66240</v>
      </c>
      <c r="L328" s="1"/>
      <c r="M328" s="1"/>
      <c r="N328" s="1"/>
      <c r="O328" s="1"/>
      <c r="P328" s="1"/>
    </row>
    <row r="329" spans="1:16" ht="52.5">
      <c r="A329" s="513" t="str">
        <f t="shared" si="36"/>
        <v>R .</v>
      </c>
      <c r="B329" s="514" t="s">
        <v>619</v>
      </c>
      <c r="C329" s="526"/>
      <c r="D329" s="527"/>
      <c r="E329" s="578" t="s">
        <v>1219</v>
      </c>
      <c r="F329" s="517" t="s">
        <v>1066</v>
      </c>
      <c r="G329" s="524">
        <v>0</v>
      </c>
      <c r="H329" s="528">
        <v>0</v>
      </c>
      <c r="I329" s="520">
        <f t="shared" si="34"/>
        <v>20700</v>
      </c>
      <c r="J329" s="529">
        <v>20700</v>
      </c>
      <c r="K329" s="530">
        <f t="shared" si="35"/>
        <v>24840</v>
      </c>
      <c r="L329" s="1"/>
      <c r="M329" s="1"/>
      <c r="N329" s="1"/>
      <c r="O329" s="1"/>
      <c r="P329" s="1"/>
    </row>
    <row r="330" spans="1:16" ht="52.5">
      <c r="A330" s="513" t="str">
        <f t="shared" si="36"/>
        <v>R .</v>
      </c>
      <c r="B330" s="514" t="s">
        <v>622</v>
      </c>
      <c r="C330" s="526"/>
      <c r="D330" s="527"/>
      <c r="E330" s="578" t="s">
        <v>1219</v>
      </c>
      <c r="F330" s="517" t="s">
        <v>1132</v>
      </c>
      <c r="G330" s="524">
        <v>0</v>
      </c>
      <c r="H330" s="528">
        <v>0</v>
      </c>
      <c r="I330" s="520">
        <f t="shared" si="34"/>
        <v>69000</v>
      </c>
      <c r="J330" s="529">
        <v>69000</v>
      </c>
      <c r="K330" s="530">
        <f t="shared" si="35"/>
        <v>82800</v>
      </c>
      <c r="L330" s="1"/>
      <c r="M330" s="1"/>
      <c r="N330" s="1"/>
      <c r="O330" s="1"/>
      <c r="P330" s="1"/>
    </row>
    <row r="331" spans="1:16" ht="26.25">
      <c r="A331" s="513" t="str">
        <f t="shared" si="36"/>
        <v>R .</v>
      </c>
      <c r="B331" s="514" t="s">
        <v>625</v>
      </c>
      <c r="C331" s="526"/>
      <c r="D331" s="527"/>
      <c r="E331" s="578" t="s">
        <v>1220</v>
      </c>
      <c r="F331" s="517" t="s">
        <v>1132</v>
      </c>
      <c r="G331" s="524">
        <v>0</v>
      </c>
      <c r="H331" s="528">
        <v>0</v>
      </c>
      <c r="I331" s="520">
        <f t="shared" si="34"/>
        <v>27600</v>
      </c>
      <c r="J331" s="529">
        <v>27600</v>
      </c>
      <c r="K331" s="530">
        <f t="shared" si="35"/>
        <v>33120</v>
      </c>
      <c r="L331" s="1"/>
      <c r="M331" s="1"/>
      <c r="N331" s="1"/>
      <c r="O331" s="1"/>
      <c r="P331" s="1"/>
    </row>
    <row r="332" spans="1:16" ht="26.25">
      <c r="A332" s="513" t="str">
        <f t="shared" si="36"/>
        <v>R .</v>
      </c>
      <c r="B332" s="514" t="s">
        <v>628</v>
      </c>
      <c r="C332" s="526"/>
      <c r="D332" s="527"/>
      <c r="E332" s="578" t="s">
        <v>1221</v>
      </c>
      <c r="F332" s="517" t="s">
        <v>1066</v>
      </c>
      <c r="G332" s="524">
        <v>0</v>
      </c>
      <c r="H332" s="528">
        <v>0</v>
      </c>
      <c r="I332" s="520">
        <f t="shared" si="34"/>
        <v>2760</v>
      </c>
      <c r="J332" s="529">
        <v>2760</v>
      </c>
      <c r="K332" s="530">
        <f t="shared" si="35"/>
        <v>3312</v>
      </c>
      <c r="L332" s="1"/>
      <c r="M332" s="1"/>
      <c r="N332" s="1"/>
      <c r="O332" s="1"/>
      <c r="P332" s="1"/>
    </row>
    <row r="333" spans="1:16" ht="26.25">
      <c r="A333" s="513" t="str">
        <f t="shared" si="36"/>
        <v>R .</v>
      </c>
      <c r="B333" s="514" t="s">
        <v>630</v>
      </c>
      <c r="C333" s="526"/>
      <c r="D333" s="527"/>
      <c r="E333" s="578" t="s">
        <v>1221</v>
      </c>
      <c r="F333" s="517" t="s">
        <v>1132</v>
      </c>
      <c r="G333" s="524">
        <v>0</v>
      </c>
      <c r="H333" s="528">
        <v>0</v>
      </c>
      <c r="I333" s="520">
        <f t="shared" si="34"/>
        <v>6900</v>
      </c>
      <c r="J333" s="529">
        <v>6900</v>
      </c>
      <c r="K333" s="530">
        <f t="shared" si="35"/>
        <v>8280</v>
      </c>
      <c r="L333" s="1"/>
      <c r="M333" s="1"/>
      <c r="N333" s="1"/>
      <c r="O333" s="1"/>
      <c r="P333" s="1"/>
    </row>
    <row r="334" spans="1:16" ht="26.25">
      <c r="A334" s="513" t="str">
        <f t="shared" si="36"/>
        <v>R .</v>
      </c>
      <c r="B334" s="514" t="s">
        <v>633</v>
      </c>
      <c r="C334" s="526"/>
      <c r="D334" s="527"/>
      <c r="E334" s="578" t="s">
        <v>1222</v>
      </c>
      <c r="F334" s="517" t="s">
        <v>1066</v>
      </c>
      <c r="G334" s="524">
        <v>0</v>
      </c>
      <c r="H334" s="528">
        <v>0</v>
      </c>
      <c r="I334" s="520">
        <f t="shared" si="34"/>
        <v>27600</v>
      </c>
      <c r="J334" s="529">
        <v>27600</v>
      </c>
      <c r="K334" s="530">
        <f t="shared" si="35"/>
        <v>33120</v>
      </c>
      <c r="L334" s="1"/>
      <c r="M334" s="1"/>
      <c r="N334" s="1"/>
      <c r="O334" s="1"/>
      <c r="P334" s="1"/>
    </row>
    <row r="335" spans="1:16" ht="52.5">
      <c r="A335" s="513" t="str">
        <f t="shared" si="36"/>
        <v>R .</v>
      </c>
      <c r="B335" s="514" t="s">
        <v>635</v>
      </c>
      <c r="C335" s="526"/>
      <c r="D335" s="527"/>
      <c r="E335" s="578" t="s">
        <v>1223</v>
      </c>
      <c r="F335" s="517" t="s">
        <v>1132</v>
      </c>
      <c r="G335" s="524">
        <v>0</v>
      </c>
      <c r="H335" s="528">
        <v>0</v>
      </c>
      <c r="I335" s="520">
        <f t="shared" si="34"/>
        <v>276000</v>
      </c>
      <c r="J335" s="529">
        <v>276000</v>
      </c>
      <c r="K335" s="530">
        <f t="shared" si="35"/>
        <v>331200</v>
      </c>
      <c r="L335" s="1"/>
      <c r="M335" s="1"/>
      <c r="N335" s="1"/>
      <c r="O335" s="1"/>
      <c r="P335" s="1"/>
    </row>
    <row r="336" spans="1:16" ht="52.5">
      <c r="A336" s="513" t="str">
        <f t="shared" si="36"/>
        <v>R .</v>
      </c>
      <c r="B336" s="514" t="s">
        <v>679</v>
      </c>
      <c r="C336" s="526"/>
      <c r="D336" s="527"/>
      <c r="E336" s="578" t="s">
        <v>1224</v>
      </c>
      <c r="F336" s="517" t="s">
        <v>1066</v>
      </c>
      <c r="G336" s="524">
        <v>0</v>
      </c>
      <c r="H336" s="528">
        <v>0</v>
      </c>
      <c r="I336" s="520">
        <f t="shared" si="34"/>
        <v>48300</v>
      </c>
      <c r="J336" s="529">
        <v>48300</v>
      </c>
      <c r="K336" s="530">
        <f t="shared" si="35"/>
        <v>57960</v>
      </c>
      <c r="L336" s="1"/>
      <c r="M336" s="1"/>
      <c r="N336" s="1"/>
      <c r="O336" s="1"/>
      <c r="P336" s="1"/>
    </row>
    <row r="337" spans="1:16" ht="52.5">
      <c r="A337" s="513" t="str">
        <f t="shared" si="36"/>
        <v>R .</v>
      </c>
      <c r="B337" s="514" t="s">
        <v>683</v>
      </c>
      <c r="C337" s="526"/>
      <c r="D337" s="527"/>
      <c r="E337" s="578" t="s">
        <v>1224</v>
      </c>
      <c r="F337" s="517" t="s">
        <v>1132</v>
      </c>
      <c r="G337" s="524">
        <v>0</v>
      </c>
      <c r="H337" s="528">
        <v>0</v>
      </c>
      <c r="I337" s="520">
        <f t="shared" si="34"/>
        <v>483000</v>
      </c>
      <c r="J337" s="529">
        <v>483000</v>
      </c>
      <c r="K337" s="530">
        <f t="shared" si="35"/>
        <v>579600</v>
      </c>
      <c r="L337" s="1"/>
      <c r="M337" s="1"/>
      <c r="N337" s="1"/>
      <c r="O337" s="1"/>
      <c r="P337" s="1"/>
    </row>
    <row r="338" spans="1:16" ht="131.25">
      <c r="A338" s="513" t="str">
        <f t="shared" si="36"/>
        <v>R .</v>
      </c>
      <c r="B338" s="514" t="s">
        <v>687</v>
      </c>
      <c r="C338" s="526"/>
      <c r="D338" s="527"/>
      <c r="E338" s="578" t="s">
        <v>1225</v>
      </c>
      <c r="F338" s="517" t="s">
        <v>1132</v>
      </c>
      <c r="G338" s="524">
        <v>0</v>
      </c>
      <c r="H338" s="528">
        <v>0</v>
      </c>
      <c r="I338" s="520">
        <f t="shared" si="34"/>
        <v>552000</v>
      </c>
      <c r="J338" s="529">
        <v>552000</v>
      </c>
      <c r="K338" s="530">
        <f t="shared" si="35"/>
        <v>662400</v>
      </c>
      <c r="L338" s="1"/>
      <c r="M338" s="1"/>
      <c r="N338" s="1"/>
      <c r="O338" s="1"/>
      <c r="P338" s="1"/>
    </row>
    <row r="339" spans="1:16" ht="131.25">
      <c r="A339" s="513" t="str">
        <f t="shared" si="36"/>
        <v>R .</v>
      </c>
      <c r="B339" s="514" t="s">
        <v>691</v>
      </c>
      <c r="C339" s="526"/>
      <c r="D339" s="527"/>
      <c r="E339" s="578" t="s">
        <v>1225</v>
      </c>
      <c r="F339" s="517" t="s">
        <v>1132</v>
      </c>
      <c r="G339" s="524">
        <v>0</v>
      </c>
      <c r="H339" s="528">
        <v>0</v>
      </c>
      <c r="I339" s="520">
        <f t="shared" si="34"/>
        <v>828000</v>
      </c>
      <c r="J339" s="529">
        <v>828000</v>
      </c>
      <c r="K339" s="530">
        <f t="shared" si="35"/>
        <v>993600</v>
      </c>
      <c r="L339" s="1"/>
      <c r="M339" s="1"/>
      <c r="N339" s="1"/>
      <c r="O339" s="1"/>
      <c r="P339" s="1"/>
    </row>
    <row r="340" spans="1:16" ht="78.75">
      <c r="A340" s="513" t="str">
        <f t="shared" si="36"/>
        <v>R .</v>
      </c>
      <c r="B340" s="514" t="s">
        <v>695</v>
      </c>
      <c r="C340" s="526"/>
      <c r="D340" s="527"/>
      <c r="E340" s="578" t="s">
        <v>1487</v>
      </c>
      <c r="F340" s="517" t="s">
        <v>1132</v>
      </c>
      <c r="G340" s="524">
        <v>0</v>
      </c>
      <c r="H340" s="528">
        <v>0</v>
      </c>
      <c r="I340" s="520">
        <f t="shared" si="34"/>
        <v>138000</v>
      </c>
      <c r="J340" s="529">
        <v>138000</v>
      </c>
      <c r="K340" s="530">
        <f t="shared" si="35"/>
        <v>165600</v>
      </c>
      <c r="L340" s="1"/>
      <c r="M340" s="1"/>
      <c r="N340" s="1"/>
      <c r="O340" s="1"/>
      <c r="P340" s="1"/>
    </row>
    <row r="341" spans="1:16" ht="52.5">
      <c r="A341" s="513" t="str">
        <f t="shared" si="36"/>
        <v>R .</v>
      </c>
      <c r="B341" s="514" t="s">
        <v>699</v>
      </c>
      <c r="C341" s="526"/>
      <c r="D341" s="527"/>
      <c r="E341" s="578" t="s">
        <v>1226</v>
      </c>
      <c r="F341" s="517" t="s">
        <v>1132</v>
      </c>
      <c r="G341" s="524">
        <v>0</v>
      </c>
      <c r="H341" s="528">
        <v>0</v>
      </c>
      <c r="I341" s="520">
        <f t="shared" si="34"/>
        <v>276000</v>
      </c>
      <c r="J341" s="529">
        <v>276000</v>
      </c>
      <c r="K341" s="530">
        <f t="shared" si="35"/>
        <v>331200</v>
      </c>
      <c r="L341" s="1"/>
      <c r="M341" s="1"/>
      <c r="N341" s="1"/>
      <c r="O341" s="1"/>
      <c r="P341" s="1"/>
    </row>
    <row r="342" spans="1:16" ht="52.5">
      <c r="A342" s="513" t="str">
        <f t="shared" si="36"/>
        <v>R .</v>
      </c>
      <c r="B342" s="514" t="s">
        <v>703</v>
      </c>
      <c r="C342" s="526"/>
      <c r="D342" s="527"/>
      <c r="E342" s="578" t="s">
        <v>1227</v>
      </c>
      <c r="F342" s="517" t="s">
        <v>1132</v>
      </c>
      <c r="G342" s="524">
        <v>0</v>
      </c>
      <c r="H342" s="528">
        <v>0</v>
      </c>
      <c r="I342" s="520">
        <f t="shared" si="34"/>
        <v>110400</v>
      </c>
      <c r="J342" s="529">
        <v>110400</v>
      </c>
      <c r="K342" s="530">
        <f t="shared" si="35"/>
        <v>132480</v>
      </c>
      <c r="L342" s="1"/>
      <c r="M342" s="1"/>
      <c r="N342" s="1"/>
      <c r="O342" s="1"/>
      <c r="P342" s="1"/>
    </row>
    <row r="343" spans="1:16" ht="26.25">
      <c r="A343" s="575"/>
      <c r="B343" s="562"/>
      <c r="C343" s="533"/>
      <c r="D343" s="534"/>
      <c r="E343" s="579"/>
      <c r="F343" s="566"/>
      <c r="G343" s="567"/>
      <c r="H343" s="568"/>
      <c r="I343" s="561"/>
      <c r="J343" s="539"/>
      <c r="K343" s="540"/>
      <c r="L343" s="1"/>
      <c r="M343" s="1"/>
      <c r="N343" s="1"/>
      <c r="O343" s="1"/>
      <c r="P343" s="1"/>
    </row>
    <row r="344" spans="1:16" ht="51.75" thickBot="1">
      <c r="A344" s="831" t="s">
        <v>1228</v>
      </c>
      <c r="B344" s="832"/>
      <c r="C344" s="665"/>
      <c r="D344" s="666"/>
      <c r="E344" s="744" t="s">
        <v>1229</v>
      </c>
      <c r="F344" s="621"/>
      <c r="G344" s="622"/>
      <c r="H344" s="623"/>
      <c r="I344" s="624"/>
      <c r="J344" s="667"/>
      <c r="K344" s="668"/>
      <c r="L344" s="1"/>
      <c r="M344" s="1"/>
      <c r="N344" s="1"/>
      <c r="O344" s="1"/>
      <c r="P344" s="1"/>
    </row>
    <row r="345" spans="1:16" ht="26.25">
      <c r="A345" s="575"/>
      <c r="B345" s="532"/>
      <c r="C345" s="533"/>
      <c r="D345" s="534"/>
      <c r="E345" s="579"/>
      <c r="F345" s="566"/>
      <c r="G345" s="567"/>
      <c r="H345" s="568"/>
      <c r="I345" s="561"/>
      <c r="J345" s="539"/>
      <c r="K345" s="540"/>
      <c r="L345" s="1"/>
      <c r="M345" s="1"/>
      <c r="N345" s="1"/>
      <c r="O345" s="1"/>
      <c r="P345" s="1"/>
    </row>
    <row r="346" spans="1:16" ht="131.25">
      <c r="A346" s="513" t="str">
        <f>+A344</f>
        <v>S .</v>
      </c>
      <c r="B346" s="675" t="s">
        <v>594</v>
      </c>
      <c r="C346" s="526"/>
      <c r="D346" s="527"/>
      <c r="E346" s="578" t="s">
        <v>1230</v>
      </c>
      <c r="F346" s="517" t="s">
        <v>1066</v>
      </c>
      <c r="G346" s="524">
        <v>0</v>
      </c>
      <c r="H346" s="528">
        <v>0</v>
      </c>
      <c r="I346" s="520">
        <f aca="true" t="shared" si="37" ref="I346:I351">+J346-(G346+H346)</f>
        <v>6187</v>
      </c>
      <c r="J346" s="529">
        <v>6187</v>
      </c>
      <c r="K346" s="530">
        <f aca="true" t="shared" si="38" ref="K346:K351">+$K346*$L$5</f>
        <v>7424.4</v>
      </c>
      <c r="L346" s="1"/>
      <c r="M346" s="1"/>
      <c r="N346" s="1"/>
      <c r="O346" s="1"/>
      <c r="P346" s="1"/>
    </row>
    <row r="347" spans="1:16" ht="131.25">
      <c r="A347" s="513" t="str">
        <f>+A346</f>
        <v>S .</v>
      </c>
      <c r="B347" s="675" t="s">
        <v>598</v>
      </c>
      <c r="C347" s="526"/>
      <c r="D347" s="527"/>
      <c r="E347" s="578" t="s">
        <v>1230</v>
      </c>
      <c r="F347" s="517" t="s">
        <v>1231</v>
      </c>
      <c r="G347" s="524">
        <v>0</v>
      </c>
      <c r="H347" s="528">
        <v>0</v>
      </c>
      <c r="I347" s="520">
        <f t="shared" si="37"/>
        <v>275</v>
      </c>
      <c r="J347" s="529">
        <v>275</v>
      </c>
      <c r="K347" s="530">
        <f t="shared" si="38"/>
        <v>330</v>
      </c>
      <c r="L347" s="1"/>
      <c r="M347" s="1"/>
      <c r="N347" s="1"/>
      <c r="O347" s="1"/>
      <c r="P347" s="1"/>
    </row>
    <row r="348" spans="1:16" ht="78.75">
      <c r="A348" s="513" t="str">
        <f>+A347</f>
        <v>S .</v>
      </c>
      <c r="B348" s="675" t="s">
        <v>603</v>
      </c>
      <c r="C348" s="526"/>
      <c r="D348" s="527"/>
      <c r="E348" s="578" t="s">
        <v>1232</v>
      </c>
      <c r="F348" s="517" t="s">
        <v>1233</v>
      </c>
      <c r="G348" s="524">
        <v>0</v>
      </c>
      <c r="H348" s="528">
        <v>0</v>
      </c>
      <c r="I348" s="520">
        <f t="shared" si="37"/>
        <v>120</v>
      </c>
      <c r="J348" s="529">
        <v>120</v>
      </c>
      <c r="K348" s="530">
        <f t="shared" si="38"/>
        <v>144</v>
      </c>
      <c r="L348" s="1"/>
      <c r="M348" s="1"/>
      <c r="N348" s="1"/>
      <c r="O348" s="1"/>
      <c r="P348" s="1"/>
    </row>
    <row r="349" spans="1:16" ht="78.75">
      <c r="A349" s="513" t="str">
        <f>+A348</f>
        <v>S .</v>
      </c>
      <c r="B349" s="675" t="s">
        <v>607</v>
      </c>
      <c r="C349" s="526"/>
      <c r="D349" s="527"/>
      <c r="E349" s="578" t="s">
        <v>1234</v>
      </c>
      <c r="F349" s="517" t="s">
        <v>1233</v>
      </c>
      <c r="G349" s="524">
        <v>0</v>
      </c>
      <c r="H349" s="528">
        <v>0</v>
      </c>
      <c r="I349" s="520">
        <f t="shared" si="37"/>
        <v>145</v>
      </c>
      <c r="J349" s="529">
        <v>145</v>
      </c>
      <c r="K349" s="530">
        <f t="shared" si="38"/>
        <v>174</v>
      </c>
      <c r="L349" s="1"/>
      <c r="M349" s="1"/>
      <c r="N349" s="1"/>
      <c r="O349" s="1"/>
      <c r="P349" s="1"/>
    </row>
    <row r="350" spans="1:16" ht="52.5">
      <c r="A350" s="513" t="str">
        <f>+A349</f>
        <v>S .</v>
      </c>
      <c r="B350" s="675" t="s">
        <v>612</v>
      </c>
      <c r="C350" s="526"/>
      <c r="D350" s="527"/>
      <c r="E350" s="578" t="s">
        <v>1235</v>
      </c>
      <c r="F350" s="517" t="s">
        <v>1469</v>
      </c>
      <c r="G350" s="524">
        <v>0</v>
      </c>
      <c r="H350" s="528">
        <v>0</v>
      </c>
      <c r="I350" s="520">
        <f t="shared" si="37"/>
        <v>1375</v>
      </c>
      <c r="J350" s="529">
        <v>1375</v>
      </c>
      <c r="K350" s="530">
        <f t="shared" si="38"/>
        <v>1650</v>
      </c>
      <c r="L350" s="1"/>
      <c r="M350" s="1"/>
      <c r="N350" s="1"/>
      <c r="O350" s="1"/>
      <c r="P350" s="1"/>
    </row>
    <row r="351" spans="1:16" ht="52.5">
      <c r="A351" s="513" t="str">
        <f>+A350</f>
        <v>S .</v>
      </c>
      <c r="B351" s="675" t="s">
        <v>616</v>
      </c>
      <c r="C351" s="526"/>
      <c r="D351" s="527"/>
      <c r="E351" s="578" t="s">
        <v>1235</v>
      </c>
      <c r="F351" s="517" t="s">
        <v>1066</v>
      </c>
      <c r="G351" s="524">
        <v>0</v>
      </c>
      <c r="H351" s="528">
        <v>0</v>
      </c>
      <c r="I351" s="520">
        <f t="shared" si="37"/>
        <v>4812</v>
      </c>
      <c r="J351" s="529">
        <v>4812</v>
      </c>
      <c r="K351" s="530">
        <f t="shared" si="38"/>
        <v>5774.4</v>
      </c>
      <c r="L351" s="1"/>
      <c r="M351" s="1"/>
      <c r="N351" s="1"/>
      <c r="O351" s="1"/>
      <c r="P351" s="1"/>
    </row>
    <row r="352" spans="1:16" ht="26.25">
      <c r="A352" s="575"/>
      <c r="B352" s="562"/>
      <c r="C352" s="533"/>
      <c r="D352" s="534"/>
      <c r="E352" s="579"/>
      <c r="F352" s="566"/>
      <c r="G352" s="567"/>
      <c r="H352" s="568"/>
      <c r="I352" s="561"/>
      <c r="J352" s="539"/>
      <c r="K352" s="540"/>
      <c r="L352" s="1"/>
      <c r="M352" s="1"/>
      <c r="N352" s="1"/>
      <c r="O352" s="1"/>
      <c r="P352" s="1"/>
    </row>
    <row r="353" spans="1:16" ht="153.75" thickBot="1">
      <c r="A353" s="829" t="s">
        <v>1236</v>
      </c>
      <c r="B353" s="830"/>
      <c r="C353" s="665"/>
      <c r="D353" s="666"/>
      <c r="E353" s="744" t="s">
        <v>1237</v>
      </c>
      <c r="F353" s="621"/>
      <c r="G353" s="622"/>
      <c r="H353" s="623"/>
      <c r="I353" s="624"/>
      <c r="J353" s="667"/>
      <c r="K353" s="668"/>
      <c r="L353" s="1"/>
      <c r="M353" s="1"/>
      <c r="N353" s="1"/>
      <c r="O353" s="1"/>
      <c r="P353" s="1"/>
    </row>
    <row r="354" spans="1:16" ht="26.25">
      <c r="A354" s="575"/>
      <c r="B354" s="580"/>
      <c r="C354" s="684"/>
      <c r="D354" s="685"/>
      <c r="E354" s="748"/>
      <c r="F354" s="686"/>
      <c r="G354" s="687"/>
      <c r="H354" s="688"/>
      <c r="I354" s="689"/>
      <c r="J354" s="690"/>
      <c r="K354" s="691"/>
      <c r="L354" s="1"/>
      <c r="M354" s="1"/>
      <c r="N354" s="1"/>
      <c r="O354" s="1"/>
      <c r="P354" s="1"/>
    </row>
    <row r="355" spans="1:16" ht="102.75" thickBot="1">
      <c r="A355" s="829" t="s">
        <v>1238</v>
      </c>
      <c r="B355" s="830"/>
      <c r="C355" s="652"/>
      <c r="D355" s="496"/>
      <c r="E355" s="746" t="s">
        <v>1239</v>
      </c>
      <c r="F355" s="692"/>
      <c r="G355" s="654"/>
      <c r="H355" s="655"/>
      <c r="I355" s="656"/>
      <c r="J355" s="693"/>
      <c r="K355" s="694"/>
      <c r="L355" s="1"/>
      <c r="M355" s="1"/>
      <c r="N355" s="1"/>
      <c r="O355" s="1"/>
      <c r="P355" s="1"/>
    </row>
    <row r="356" spans="1:16" ht="26.25">
      <c r="A356" s="575"/>
      <c r="B356" s="631"/>
      <c r="C356" s="657"/>
      <c r="D356" s="548"/>
      <c r="E356" s="747"/>
      <c r="F356" s="695"/>
      <c r="G356" s="659"/>
      <c r="H356" s="660"/>
      <c r="I356" s="661"/>
      <c r="J356" s="696"/>
      <c r="K356" s="697"/>
      <c r="L356" s="1"/>
      <c r="M356" s="1"/>
      <c r="N356" s="1"/>
      <c r="O356" s="1"/>
      <c r="P356" s="1"/>
    </row>
    <row r="357" spans="1:16" ht="78.75">
      <c r="A357" s="513" t="str">
        <f>+A355</f>
        <v>U .</v>
      </c>
      <c r="B357" s="514" t="s">
        <v>594</v>
      </c>
      <c r="C357" s="526"/>
      <c r="D357" s="527"/>
      <c r="E357" s="578" t="s">
        <v>1240</v>
      </c>
      <c r="F357" s="517" t="s">
        <v>1066</v>
      </c>
      <c r="G357" s="524">
        <v>0</v>
      </c>
      <c r="H357" s="528">
        <v>0</v>
      </c>
      <c r="I357" s="520">
        <f>+J357-(G357+H357)</f>
        <v>2655.72</v>
      </c>
      <c r="J357" s="529">
        <v>2655.72</v>
      </c>
      <c r="K357" s="530">
        <f>+$K357*$L$5</f>
        <v>3186.8639999999996</v>
      </c>
      <c r="L357" s="1"/>
      <c r="M357" s="1"/>
      <c r="N357" s="1"/>
      <c r="O357" s="1"/>
      <c r="P357" s="1"/>
    </row>
    <row r="358" spans="1:16" ht="52.5">
      <c r="A358" s="513" t="str">
        <f>+A357</f>
        <v>U .</v>
      </c>
      <c r="B358" s="514" t="s">
        <v>598</v>
      </c>
      <c r="C358" s="526"/>
      <c r="D358" s="527"/>
      <c r="E358" s="578" t="s">
        <v>1241</v>
      </c>
      <c r="F358" s="517" t="s">
        <v>1066</v>
      </c>
      <c r="G358" s="524">
        <v>0</v>
      </c>
      <c r="H358" s="528">
        <v>0</v>
      </c>
      <c r="I358" s="520">
        <f>+J358-(G358+H358)</f>
        <v>2291.21</v>
      </c>
      <c r="J358" s="529">
        <v>2291.21</v>
      </c>
      <c r="K358" s="530">
        <f>+$K358*$L$5</f>
        <v>2749.4519999999998</v>
      </c>
      <c r="L358" s="1"/>
      <c r="M358" s="1"/>
      <c r="N358" s="1"/>
      <c r="O358" s="1"/>
      <c r="P358" s="1"/>
    </row>
    <row r="359" spans="1:16" ht="52.5">
      <c r="A359" s="513" t="str">
        <f>+A358</f>
        <v>U .</v>
      </c>
      <c r="B359" s="514" t="s">
        <v>603</v>
      </c>
      <c r="C359" s="526"/>
      <c r="D359" s="527"/>
      <c r="E359" s="578" t="s">
        <v>1242</v>
      </c>
      <c r="F359" s="517" t="s">
        <v>1066</v>
      </c>
      <c r="G359" s="524">
        <v>0</v>
      </c>
      <c r="H359" s="528">
        <v>0</v>
      </c>
      <c r="I359" s="520">
        <f>+J359-(G359+H359)</f>
        <v>1978.77</v>
      </c>
      <c r="J359" s="529">
        <v>1978.77</v>
      </c>
      <c r="K359" s="530">
        <f>+$K359*$L$5</f>
        <v>2374.524</v>
      </c>
      <c r="L359" s="1"/>
      <c r="M359" s="1"/>
      <c r="N359" s="1"/>
      <c r="O359" s="1"/>
      <c r="P359" s="1"/>
    </row>
    <row r="360" spans="1:16" ht="52.5">
      <c r="A360" s="513" t="str">
        <f>+A359</f>
        <v>U .</v>
      </c>
      <c r="B360" s="514" t="s">
        <v>607</v>
      </c>
      <c r="C360" s="526"/>
      <c r="D360" s="527"/>
      <c r="E360" s="578" t="s">
        <v>1243</v>
      </c>
      <c r="F360" s="517" t="s">
        <v>1066</v>
      </c>
      <c r="G360" s="524">
        <v>0</v>
      </c>
      <c r="H360" s="528">
        <v>0</v>
      </c>
      <c r="I360" s="520">
        <f>+J360-(G360+H360)</f>
        <v>1458.04</v>
      </c>
      <c r="J360" s="529">
        <v>1458.04</v>
      </c>
      <c r="K360" s="530">
        <f>+$K360*$L$5</f>
        <v>1749.648</v>
      </c>
      <c r="L360" s="1"/>
      <c r="M360" s="1"/>
      <c r="N360" s="1"/>
      <c r="O360" s="1"/>
      <c r="P360" s="1"/>
    </row>
    <row r="361" spans="1:16" ht="26.25">
      <c r="A361" s="575"/>
      <c r="B361" s="580"/>
      <c r="C361" s="684"/>
      <c r="D361" s="685"/>
      <c r="E361" s="748"/>
      <c r="F361" s="686"/>
      <c r="G361" s="687"/>
      <c r="H361" s="688"/>
      <c r="I361" s="689"/>
      <c r="J361" s="690"/>
      <c r="K361" s="691"/>
      <c r="L361" s="1"/>
      <c r="M361" s="1"/>
      <c r="N361" s="1"/>
      <c r="O361" s="1"/>
      <c r="P361" s="1"/>
    </row>
    <row r="362" spans="1:16" ht="128.25" thickBot="1">
      <c r="A362" s="829" t="s">
        <v>1244</v>
      </c>
      <c r="B362" s="830"/>
      <c r="C362" s="652"/>
      <c r="D362" s="496"/>
      <c r="E362" s="746" t="s">
        <v>1245</v>
      </c>
      <c r="F362" s="692"/>
      <c r="G362" s="654"/>
      <c r="H362" s="655"/>
      <c r="I362" s="656"/>
      <c r="J362" s="693"/>
      <c r="K362" s="694"/>
      <c r="L362" s="1"/>
      <c r="M362" s="1"/>
      <c r="N362" s="1"/>
      <c r="O362" s="1"/>
      <c r="P362" s="1"/>
    </row>
    <row r="363" spans="1:16" ht="26.25">
      <c r="A363" s="575"/>
      <c r="B363" s="631"/>
      <c r="C363" s="657"/>
      <c r="D363" s="548"/>
      <c r="E363" s="747"/>
      <c r="F363" s="695"/>
      <c r="G363" s="659"/>
      <c r="H363" s="660"/>
      <c r="I363" s="661"/>
      <c r="J363" s="696"/>
      <c r="K363" s="697"/>
      <c r="L363" s="1"/>
      <c r="M363" s="1"/>
      <c r="N363" s="1"/>
      <c r="O363" s="1"/>
      <c r="P363" s="1"/>
    </row>
    <row r="364" spans="1:16" ht="26.25">
      <c r="A364" s="513" t="str">
        <f>+A362</f>
        <v>V .</v>
      </c>
      <c r="B364" s="514" t="s">
        <v>594</v>
      </c>
      <c r="C364" s="526"/>
      <c r="D364" s="527"/>
      <c r="E364" s="578" t="s">
        <v>1246</v>
      </c>
      <c r="F364" s="517" t="s">
        <v>1066</v>
      </c>
      <c r="G364" s="524">
        <v>0</v>
      </c>
      <c r="H364" s="528">
        <v>0</v>
      </c>
      <c r="I364" s="520">
        <f aca="true" t="shared" si="39" ref="I364:I373">+J364-(G364+H364)</f>
        <v>2011.75</v>
      </c>
      <c r="J364" s="529">
        <v>2011.75</v>
      </c>
      <c r="K364" s="530">
        <f aca="true" t="shared" si="40" ref="K364:K373">+$K364*$L$5</f>
        <v>2414.1</v>
      </c>
      <c r="L364" s="1"/>
      <c r="M364" s="1"/>
      <c r="N364" s="1"/>
      <c r="O364" s="1"/>
      <c r="P364" s="1"/>
    </row>
    <row r="365" spans="1:16" ht="52.5">
      <c r="A365" s="513" t="str">
        <f>+A364</f>
        <v>V .</v>
      </c>
      <c r="B365" s="514" t="s">
        <v>598</v>
      </c>
      <c r="C365" s="526"/>
      <c r="D365" s="527"/>
      <c r="E365" s="578" t="s">
        <v>1247</v>
      </c>
      <c r="F365" s="517" t="s">
        <v>1066</v>
      </c>
      <c r="G365" s="524">
        <v>0</v>
      </c>
      <c r="H365" s="528">
        <v>0</v>
      </c>
      <c r="I365" s="520">
        <f t="shared" si="39"/>
        <v>1911.75</v>
      </c>
      <c r="J365" s="529">
        <v>1911.75</v>
      </c>
      <c r="K365" s="530">
        <f t="shared" si="40"/>
        <v>2294.1</v>
      </c>
      <c r="L365" s="1"/>
      <c r="M365" s="1"/>
      <c r="N365" s="1"/>
      <c r="O365" s="1"/>
      <c r="P365" s="1"/>
    </row>
    <row r="366" spans="1:16" ht="52.5">
      <c r="A366" s="513" t="str">
        <f aca="true" t="shared" si="41" ref="A366:A373">+A365</f>
        <v>V .</v>
      </c>
      <c r="B366" s="514" t="s">
        <v>603</v>
      </c>
      <c r="C366" s="526"/>
      <c r="D366" s="527"/>
      <c r="E366" s="578" t="s">
        <v>1248</v>
      </c>
      <c r="F366" s="517" t="s">
        <v>1066</v>
      </c>
      <c r="G366" s="524">
        <v>0</v>
      </c>
      <c r="H366" s="528">
        <v>0</v>
      </c>
      <c r="I366" s="520">
        <f t="shared" si="39"/>
        <v>1911.75</v>
      </c>
      <c r="J366" s="529">
        <v>1911.75</v>
      </c>
      <c r="K366" s="530">
        <f t="shared" si="40"/>
        <v>2294.1</v>
      </c>
      <c r="L366" s="1"/>
      <c r="M366" s="1"/>
      <c r="N366" s="1"/>
      <c r="O366" s="1"/>
      <c r="P366" s="1"/>
    </row>
    <row r="367" spans="1:16" ht="26.25">
      <c r="A367" s="513" t="str">
        <f t="shared" si="41"/>
        <v>V .</v>
      </c>
      <c r="B367" s="514" t="s">
        <v>607</v>
      </c>
      <c r="C367" s="526"/>
      <c r="D367" s="527"/>
      <c r="E367" s="578" t="s">
        <v>1249</v>
      </c>
      <c r="F367" s="517" t="s">
        <v>1066</v>
      </c>
      <c r="G367" s="524">
        <v>0</v>
      </c>
      <c r="H367" s="528">
        <v>0</v>
      </c>
      <c r="I367" s="520">
        <f t="shared" si="39"/>
        <v>1216.58</v>
      </c>
      <c r="J367" s="529">
        <v>1216.58</v>
      </c>
      <c r="K367" s="530">
        <f t="shared" si="40"/>
        <v>1459.896</v>
      </c>
      <c r="L367" s="1"/>
      <c r="M367" s="1"/>
      <c r="N367" s="1"/>
      <c r="O367" s="1"/>
      <c r="P367" s="1"/>
    </row>
    <row r="368" spans="1:16" ht="26.25">
      <c r="A368" s="513" t="str">
        <f t="shared" si="41"/>
        <v>V .</v>
      </c>
      <c r="B368" s="514" t="s">
        <v>612</v>
      </c>
      <c r="C368" s="526"/>
      <c r="D368" s="527"/>
      <c r="E368" s="578" t="s">
        <v>1250</v>
      </c>
      <c r="F368" s="517" t="s">
        <v>1066</v>
      </c>
      <c r="G368" s="524">
        <v>0</v>
      </c>
      <c r="H368" s="528">
        <v>0</v>
      </c>
      <c r="I368" s="520">
        <f t="shared" si="39"/>
        <v>1216.58</v>
      </c>
      <c r="J368" s="529">
        <v>1216.58</v>
      </c>
      <c r="K368" s="530">
        <f t="shared" si="40"/>
        <v>1459.896</v>
      </c>
      <c r="L368" s="1"/>
      <c r="M368" s="1"/>
      <c r="N368" s="1"/>
      <c r="O368" s="1"/>
      <c r="P368" s="1"/>
    </row>
    <row r="369" spans="1:16" ht="52.5">
      <c r="A369" s="513" t="str">
        <f t="shared" si="41"/>
        <v>V .</v>
      </c>
      <c r="B369" s="514" t="s">
        <v>616</v>
      </c>
      <c r="C369" s="526"/>
      <c r="D369" s="527"/>
      <c r="E369" s="578" t="s">
        <v>1251</v>
      </c>
      <c r="F369" s="517" t="s">
        <v>1066</v>
      </c>
      <c r="G369" s="524">
        <v>0</v>
      </c>
      <c r="H369" s="528">
        <v>0</v>
      </c>
      <c r="I369" s="520">
        <f t="shared" si="39"/>
        <v>1216.58</v>
      </c>
      <c r="J369" s="529">
        <v>1216.58</v>
      </c>
      <c r="K369" s="530">
        <f t="shared" si="40"/>
        <v>1459.896</v>
      </c>
      <c r="L369" s="1"/>
      <c r="M369" s="1"/>
      <c r="N369" s="1"/>
      <c r="O369" s="1"/>
      <c r="P369" s="1"/>
    </row>
    <row r="370" spans="1:16" ht="52.5">
      <c r="A370" s="513" t="str">
        <f t="shared" si="41"/>
        <v>V .</v>
      </c>
      <c r="B370" s="514" t="s">
        <v>619</v>
      </c>
      <c r="C370" s="526"/>
      <c r="D370" s="527"/>
      <c r="E370" s="578" t="s">
        <v>1252</v>
      </c>
      <c r="F370" s="517" t="s">
        <v>1066</v>
      </c>
      <c r="G370" s="524">
        <v>0</v>
      </c>
      <c r="H370" s="528">
        <v>0</v>
      </c>
      <c r="I370" s="520">
        <f t="shared" si="39"/>
        <v>1216.58</v>
      </c>
      <c r="J370" s="529">
        <v>1216.58</v>
      </c>
      <c r="K370" s="530">
        <f t="shared" si="40"/>
        <v>1459.896</v>
      </c>
      <c r="L370" s="1"/>
      <c r="M370" s="1"/>
      <c r="N370" s="1"/>
      <c r="O370" s="1"/>
      <c r="P370" s="1"/>
    </row>
    <row r="371" spans="1:16" ht="52.5">
      <c r="A371" s="513" t="str">
        <f t="shared" si="41"/>
        <v>V .</v>
      </c>
      <c r="B371" s="514" t="s">
        <v>622</v>
      </c>
      <c r="C371" s="526"/>
      <c r="D371" s="527"/>
      <c r="E371" s="578" t="s">
        <v>1253</v>
      </c>
      <c r="F371" s="517" t="s">
        <v>1066</v>
      </c>
      <c r="G371" s="524">
        <v>0</v>
      </c>
      <c r="H371" s="528">
        <v>0</v>
      </c>
      <c r="I371" s="520">
        <f t="shared" si="39"/>
        <v>1216.58</v>
      </c>
      <c r="J371" s="529">
        <v>1216.58</v>
      </c>
      <c r="K371" s="530">
        <f t="shared" si="40"/>
        <v>1459.896</v>
      </c>
      <c r="L371" s="1"/>
      <c r="M371" s="1"/>
      <c r="N371" s="1"/>
      <c r="O371" s="1"/>
      <c r="P371" s="1"/>
    </row>
    <row r="372" spans="1:16" ht="26.25">
      <c r="A372" s="513" t="str">
        <f t="shared" si="41"/>
        <v>V .</v>
      </c>
      <c r="B372" s="514" t="s">
        <v>625</v>
      </c>
      <c r="C372" s="526"/>
      <c r="D372" s="527"/>
      <c r="E372" s="578" t="s">
        <v>1254</v>
      </c>
      <c r="F372" s="517" t="s">
        <v>1066</v>
      </c>
      <c r="G372" s="524">
        <v>0</v>
      </c>
      <c r="H372" s="528">
        <v>0</v>
      </c>
      <c r="I372" s="520">
        <f t="shared" si="39"/>
        <v>1216.58</v>
      </c>
      <c r="J372" s="529">
        <v>1216.58</v>
      </c>
      <c r="K372" s="530">
        <f t="shared" si="40"/>
        <v>1459.896</v>
      </c>
      <c r="L372" s="1"/>
      <c r="M372" s="1"/>
      <c r="N372" s="1"/>
      <c r="O372" s="1"/>
      <c r="P372" s="1"/>
    </row>
    <row r="373" spans="1:16" ht="78.75">
      <c r="A373" s="513" t="str">
        <f t="shared" si="41"/>
        <v>V .</v>
      </c>
      <c r="B373" s="514" t="s">
        <v>628</v>
      </c>
      <c r="C373" s="526"/>
      <c r="D373" s="527"/>
      <c r="E373" s="578" t="s">
        <v>1255</v>
      </c>
      <c r="F373" s="517" t="s">
        <v>1066</v>
      </c>
      <c r="G373" s="524">
        <v>0</v>
      </c>
      <c r="H373" s="528">
        <v>0</v>
      </c>
      <c r="I373" s="520">
        <f t="shared" si="39"/>
        <v>586.56</v>
      </c>
      <c r="J373" s="529">
        <v>586.56</v>
      </c>
      <c r="K373" s="530">
        <f t="shared" si="40"/>
        <v>703.872</v>
      </c>
      <c r="L373" s="1"/>
      <c r="M373" s="1"/>
      <c r="N373" s="1"/>
      <c r="O373" s="1"/>
      <c r="P373" s="1"/>
    </row>
    <row r="374" spans="1:16" ht="27" thickBot="1">
      <c r="A374" s="698"/>
      <c r="B374" s="699"/>
      <c r="C374" s="700"/>
      <c r="D374" s="701"/>
      <c r="E374" s="749"/>
      <c r="F374" s="702"/>
      <c r="G374" s="703"/>
      <c r="H374" s="704"/>
      <c r="I374" s="705"/>
      <c r="J374" s="706"/>
      <c r="K374" s="707"/>
      <c r="L374" s="1"/>
      <c r="M374" s="1"/>
      <c r="N374" s="1"/>
      <c r="O374" s="1"/>
      <c r="P374" s="1"/>
    </row>
    <row r="375" spans="1:16" ht="27" thickTop="1">
      <c r="A375" s="708"/>
      <c r="B375" s="708"/>
      <c r="C375" s="709"/>
      <c r="D375" s="709"/>
      <c r="E375" s="750"/>
      <c r="F375" s="709"/>
      <c r="G375" s="709"/>
      <c r="H375" s="709"/>
      <c r="I375" s="709"/>
      <c r="J375" s="710"/>
      <c r="K375" s="710"/>
      <c r="L375" s="1"/>
      <c r="M375" s="1"/>
      <c r="N375" s="1"/>
      <c r="O375" s="1"/>
      <c r="P375" s="1"/>
    </row>
    <row r="376" spans="1:16" ht="27" thickBot="1">
      <c r="A376" s="711"/>
      <c r="B376" s="712"/>
      <c r="C376" s="712"/>
      <c r="D376" s="713"/>
      <c r="E376" s="734"/>
      <c r="F376" s="714"/>
      <c r="G376" s="714"/>
      <c r="H376" s="714"/>
      <c r="I376" s="714"/>
      <c r="J376" s="715"/>
      <c r="K376" s="715"/>
      <c r="L376" s="1"/>
      <c r="M376" s="1"/>
      <c r="N376" s="1"/>
      <c r="O376" s="1"/>
      <c r="P376" s="1"/>
    </row>
    <row r="377" spans="1:16" ht="15.75">
      <c r="A377" s="833" t="s">
        <v>1256</v>
      </c>
      <c r="B377" s="836" t="s">
        <v>1257</v>
      </c>
      <c r="C377" s="837"/>
      <c r="D377" s="842" t="s">
        <v>1258</v>
      </c>
      <c r="E377" s="843"/>
      <c r="F377" s="846" t="s">
        <v>1259</v>
      </c>
      <c r="G377" s="846"/>
      <c r="H377" s="846"/>
      <c r="I377" s="846"/>
      <c r="J377" s="846"/>
      <c r="K377" s="846"/>
      <c r="L377" s="846"/>
      <c r="M377" s="846"/>
      <c r="N377" s="846"/>
      <c r="O377" s="847"/>
      <c r="P377" s="1"/>
    </row>
    <row r="378" spans="1:16" ht="26.25">
      <c r="A378" s="834"/>
      <c r="B378" s="838"/>
      <c r="C378" s="839"/>
      <c r="D378" s="844"/>
      <c r="E378" s="845"/>
      <c r="F378" s="845" t="s">
        <v>1260</v>
      </c>
      <c r="G378" s="845"/>
      <c r="H378" s="845" t="s">
        <v>1261</v>
      </c>
      <c r="I378" s="845"/>
      <c r="J378" s="845" t="s">
        <v>1262</v>
      </c>
      <c r="K378" s="845"/>
      <c r="L378" s="848" t="s">
        <v>1263</v>
      </c>
      <c r="M378" s="848"/>
      <c r="N378" s="848" t="s">
        <v>1264</v>
      </c>
      <c r="O378" s="849"/>
      <c r="P378" s="1"/>
    </row>
    <row r="379" spans="1:16" ht="27" thickBot="1">
      <c r="A379" s="835"/>
      <c r="B379" s="840"/>
      <c r="C379" s="841"/>
      <c r="D379" s="716" t="s">
        <v>1265</v>
      </c>
      <c r="E379" s="751" t="s">
        <v>1266</v>
      </c>
      <c r="F379" s="717" t="s">
        <v>1265</v>
      </c>
      <c r="G379" s="717" t="s">
        <v>1266</v>
      </c>
      <c r="H379" s="717" t="s">
        <v>1265</v>
      </c>
      <c r="I379" s="717" t="s">
        <v>1266</v>
      </c>
      <c r="J379" s="717" t="s">
        <v>1265</v>
      </c>
      <c r="K379" s="717" t="s">
        <v>1266</v>
      </c>
      <c r="L379" s="141" t="s">
        <v>1265</v>
      </c>
      <c r="M379" s="141" t="s">
        <v>1266</v>
      </c>
      <c r="N379" s="141" t="s">
        <v>1265</v>
      </c>
      <c r="O379" s="142" t="s">
        <v>1266</v>
      </c>
      <c r="P379" s="1"/>
    </row>
    <row r="380" spans="1:16" ht="26.25" thickTop="1">
      <c r="A380" s="718">
        <v>1</v>
      </c>
      <c r="B380" s="850" t="s">
        <v>1267</v>
      </c>
      <c r="C380" s="758" t="s">
        <v>1268</v>
      </c>
      <c r="D380" s="719">
        <v>7143</v>
      </c>
      <c r="E380" s="752"/>
      <c r="F380" s="720">
        <v>5357</v>
      </c>
      <c r="G380" s="720"/>
      <c r="H380" s="720">
        <v>4857</v>
      </c>
      <c r="I380" s="720"/>
      <c r="J380" s="720">
        <v>4357</v>
      </c>
      <c r="K380" s="720"/>
      <c r="L380" s="143">
        <v>3857</v>
      </c>
      <c r="M380" s="143"/>
      <c r="N380" s="143">
        <v>3357</v>
      </c>
      <c r="O380" s="144"/>
      <c r="P380" s="1"/>
    </row>
    <row r="381" spans="1:16" ht="25.5">
      <c r="A381" s="721">
        <v>2</v>
      </c>
      <c r="B381" s="851"/>
      <c r="C381" s="759" t="s">
        <v>1269</v>
      </c>
      <c r="D381" s="722">
        <v>5594</v>
      </c>
      <c r="E381" s="753"/>
      <c r="F381" s="723">
        <v>4196</v>
      </c>
      <c r="G381" s="723"/>
      <c r="H381" s="723">
        <v>3748</v>
      </c>
      <c r="I381" s="723"/>
      <c r="J381" s="723">
        <v>3300</v>
      </c>
      <c r="K381" s="723"/>
      <c r="L381" s="145">
        <v>2853</v>
      </c>
      <c r="M381" s="145"/>
      <c r="N381" s="145">
        <v>2405</v>
      </c>
      <c r="O381" s="146"/>
      <c r="P381" s="1"/>
    </row>
    <row r="382" spans="1:16" ht="25.5">
      <c r="A382" s="721">
        <v>3</v>
      </c>
      <c r="B382" s="851"/>
      <c r="C382" s="759" t="s">
        <v>1270</v>
      </c>
      <c r="D382" s="722">
        <v>4167</v>
      </c>
      <c r="E382" s="753"/>
      <c r="F382" s="723">
        <v>3125</v>
      </c>
      <c r="G382" s="723"/>
      <c r="H382" s="723">
        <v>2792</v>
      </c>
      <c r="I382" s="723"/>
      <c r="J382" s="723">
        <v>2459</v>
      </c>
      <c r="K382" s="723"/>
      <c r="L382" s="145">
        <v>2125</v>
      </c>
      <c r="M382" s="145"/>
      <c r="N382" s="145">
        <v>1792</v>
      </c>
      <c r="O382" s="146"/>
      <c r="P382" s="1"/>
    </row>
    <row r="383" spans="1:16" ht="25.5">
      <c r="A383" s="721">
        <v>4</v>
      </c>
      <c r="B383" s="851"/>
      <c r="C383" s="759" t="s">
        <v>1271</v>
      </c>
      <c r="D383" s="722">
        <v>3273</v>
      </c>
      <c r="E383" s="753"/>
      <c r="F383" s="723">
        <v>2455</v>
      </c>
      <c r="G383" s="723"/>
      <c r="H383" s="723">
        <v>2193</v>
      </c>
      <c r="I383" s="723"/>
      <c r="J383" s="723">
        <v>1931</v>
      </c>
      <c r="K383" s="723"/>
      <c r="L383" s="145">
        <v>1669</v>
      </c>
      <c r="M383" s="145"/>
      <c r="N383" s="145">
        <v>1407</v>
      </c>
      <c r="O383" s="146"/>
      <c r="P383" s="1"/>
    </row>
    <row r="384" spans="1:16" ht="25.5">
      <c r="A384" s="721">
        <v>5</v>
      </c>
      <c r="B384" s="851" t="s">
        <v>1272</v>
      </c>
      <c r="C384" s="759" t="s">
        <v>1268</v>
      </c>
      <c r="D384" s="722">
        <v>4758</v>
      </c>
      <c r="E384" s="753"/>
      <c r="F384" s="723">
        <v>3569</v>
      </c>
      <c r="G384" s="723"/>
      <c r="H384" s="723">
        <v>3188</v>
      </c>
      <c r="I384" s="723"/>
      <c r="J384" s="723">
        <v>2807</v>
      </c>
      <c r="K384" s="723"/>
      <c r="L384" s="145">
        <v>2427</v>
      </c>
      <c r="M384" s="145"/>
      <c r="N384" s="145">
        <v>2046</v>
      </c>
      <c r="O384" s="146"/>
      <c r="P384" s="1"/>
    </row>
    <row r="385" spans="1:16" ht="25.5">
      <c r="A385" s="721">
        <v>6</v>
      </c>
      <c r="B385" s="851"/>
      <c r="C385" s="759" t="s">
        <v>1269</v>
      </c>
      <c r="D385" s="722">
        <v>4186</v>
      </c>
      <c r="E385" s="753"/>
      <c r="F385" s="723">
        <v>3140</v>
      </c>
      <c r="G385" s="723"/>
      <c r="H385" s="723">
        <v>2805</v>
      </c>
      <c r="I385" s="723"/>
      <c r="J385" s="723">
        <v>2470</v>
      </c>
      <c r="K385" s="723"/>
      <c r="L385" s="145">
        <v>2135</v>
      </c>
      <c r="M385" s="145"/>
      <c r="N385" s="145">
        <v>1800</v>
      </c>
      <c r="O385" s="146"/>
      <c r="P385" s="1"/>
    </row>
    <row r="386" spans="1:16" ht="25.5">
      <c r="A386" s="721">
        <v>7</v>
      </c>
      <c r="B386" s="851"/>
      <c r="C386" s="759" t="s">
        <v>1270</v>
      </c>
      <c r="D386" s="722">
        <v>3257</v>
      </c>
      <c r="E386" s="753"/>
      <c r="F386" s="723">
        <v>2443</v>
      </c>
      <c r="G386" s="723"/>
      <c r="H386" s="723">
        <v>2182</v>
      </c>
      <c r="I386" s="723"/>
      <c r="J386" s="723">
        <v>1922</v>
      </c>
      <c r="K386" s="723"/>
      <c r="L386" s="145">
        <v>1661</v>
      </c>
      <c r="M386" s="145"/>
      <c r="N386" s="145">
        <v>1401</v>
      </c>
      <c r="O386" s="146"/>
      <c r="P386" s="1"/>
    </row>
    <row r="387" spans="1:16" ht="25.5">
      <c r="A387" s="721">
        <v>8</v>
      </c>
      <c r="B387" s="851"/>
      <c r="C387" s="759" t="s">
        <v>1271</v>
      </c>
      <c r="D387" s="722">
        <v>2675</v>
      </c>
      <c r="E387" s="753"/>
      <c r="F387" s="723">
        <v>2006</v>
      </c>
      <c r="G387" s="723"/>
      <c r="H387" s="723">
        <v>1792</v>
      </c>
      <c r="I387" s="723"/>
      <c r="J387" s="723">
        <v>1578</v>
      </c>
      <c r="K387" s="723"/>
      <c r="L387" s="145">
        <v>1364</v>
      </c>
      <c r="M387" s="145"/>
      <c r="N387" s="145">
        <v>1150</v>
      </c>
      <c r="O387" s="146"/>
      <c r="P387" s="1"/>
    </row>
    <row r="388" spans="1:16" ht="25.5">
      <c r="A388" s="721">
        <v>9</v>
      </c>
      <c r="B388" s="851" t="s">
        <v>1273</v>
      </c>
      <c r="C388" s="759" t="s">
        <v>1274</v>
      </c>
      <c r="D388" s="722">
        <v>19380</v>
      </c>
      <c r="E388" s="753"/>
      <c r="F388" s="723">
        <v>14535</v>
      </c>
      <c r="G388" s="723"/>
      <c r="H388" s="723">
        <v>12985</v>
      </c>
      <c r="I388" s="723"/>
      <c r="J388" s="723">
        <v>11434</v>
      </c>
      <c r="K388" s="723"/>
      <c r="L388" s="145">
        <v>9884</v>
      </c>
      <c r="M388" s="145"/>
      <c r="N388" s="145">
        <v>8333</v>
      </c>
      <c r="O388" s="146"/>
      <c r="P388" s="1"/>
    </row>
    <row r="389" spans="1:16" ht="25.5">
      <c r="A389" s="721">
        <v>10</v>
      </c>
      <c r="B389" s="851"/>
      <c r="C389" s="759" t="s">
        <v>1275</v>
      </c>
      <c r="D389" s="722">
        <v>27687</v>
      </c>
      <c r="E389" s="753"/>
      <c r="F389" s="723">
        <v>20765</v>
      </c>
      <c r="G389" s="723"/>
      <c r="H389" s="723">
        <v>18550</v>
      </c>
      <c r="I389" s="723"/>
      <c r="J389" s="723">
        <v>16335</v>
      </c>
      <c r="K389" s="723"/>
      <c r="L389" s="145">
        <v>14120</v>
      </c>
      <c r="M389" s="145"/>
      <c r="N389" s="145">
        <v>11905</v>
      </c>
      <c r="O389" s="146"/>
      <c r="P389" s="1"/>
    </row>
    <row r="390" spans="1:16" ht="25.5">
      <c r="A390" s="721">
        <v>11</v>
      </c>
      <c r="B390" s="851"/>
      <c r="C390" s="759" t="s">
        <v>1276</v>
      </c>
      <c r="D390" s="722">
        <v>35992</v>
      </c>
      <c r="E390" s="753"/>
      <c r="F390" s="723">
        <v>26994</v>
      </c>
      <c r="G390" s="723"/>
      <c r="H390" s="723">
        <v>24115</v>
      </c>
      <c r="I390" s="723"/>
      <c r="J390" s="723">
        <v>21235</v>
      </c>
      <c r="K390" s="723"/>
      <c r="L390" s="145">
        <v>18356</v>
      </c>
      <c r="M390" s="145"/>
      <c r="N390" s="145">
        <v>15477</v>
      </c>
      <c r="O390" s="146"/>
      <c r="P390" s="1"/>
    </row>
    <row r="391" spans="1:16" ht="25.5">
      <c r="A391" s="721">
        <v>12</v>
      </c>
      <c r="B391" s="851"/>
      <c r="C391" s="759" t="s">
        <v>1277</v>
      </c>
      <c r="D391" s="722">
        <v>13843</v>
      </c>
      <c r="E391" s="753"/>
      <c r="F391" s="723">
        <v>10382</v>
      </c>
      <c r="G391" s="723"/>
      <c r="H391" s="723">
        <v>9275</v>
      </c>
      <c r="I391" s="723"/>
      <c r="J391" s="723">
        <v>8167</v>
      </c>
      <c r="K391" s="723"/>
      <c r="L391" s="145">
        <v>7060</v>
      </c>
      <c r="M391" s="145"/>
      <c r="N391" s="145">
        <v>5952</v>
      </c>
      <c r="O391" s="146"/>
      <c r="P391" s="1"/>
    </row>
    <row r="392" spans="1:16" ht="25.5">
      <c r="A392" s="721">
        <v>13</v>
      </c>
      <c r="B392" s="851"/>
      <c r="C392" s="759" t="s">
        <v>1278</v>
      </c>
      <c r="D392" s="722">
        <v>11075</v>
      </c>
      <c r="E392" s="753"/>
      <c r="F392" s="723">
        <v>8306</v>
      </c>
      <c r="G392" s="723"/>
      <c r="H392" s="723">
        <v>7420</v>
      </c>
      <c r="I392" s="723"/>
      <c r="J392" s="723">
        <v>6534</v>
      </c>
      <c r="K392" s="723"/>
      <c r="L392" s="145">
        <v>5648</v>
      </c>
      <c r="M392" s="145"/>
      <c r="N392" s="145">
        <v>4762</v>
      </c>
      <c r="O392" s="146"/>
      <c r="P392" s="1"/>
    </row>
    <row r="393" spans="1:16" ht="25.5">
      <c r="A393" s="721">
        <v>14</v>
      </c>
      <c r="B393" s="851"/>
      <c r="C393" s="759" t="s">
        <v>1279</v>
      </c>
      <c r="D393" s="722">
        <v>6645</v>
      </c>
      <c r="E393" s="753"/>
      <c r="F393" s="723">
        <v>4984</v>
      </c>
      <c r="G393" s="723"/>
      <c r="H393" s="723">
        <v>4452</v>
      </c>
      <c r="I393" s="723"/>
      <c r="J393" s="723">
        <v>3921</v>
      </c>
      <c r="K393" s="723"/>
      <c r="L393" s="145">
        <v>3389</v>
      </c>
      <c r="M393" s="145"/>
      <c r="N393" s="145">
        <v>2857</v>
      </c>
      <c r="O393" s="146"/>
      <c r="P393" s="1"/>
    </row>
    <row r="394" spans="1:16" ht="25.5">
      <c r="A394" s="721">
        <v>15</v>
      </c>
      <c r="B394" s="851" t="s">
        <v>1280</v>
      </c>
      <c r="C394" s="759" t="s">
        <v>1281</v>
      </c>
      <c r="D394" s="722">
        <v>8860</v>
      </c>
      <c r="E394" s="753"/>
      <c r="F394" s="723">
        <v>6645</v>
      </c>
      <c r="G394" s="723"/>
      <c r="H394" s="723">
        <v>5936</v>
      </c>
      <c r="I394" s="723"/>
      <c r="J394" s="723">
        <v>5227</v>
      </c>
      <c r="K394" s="723"/>
      <c r="L394" s="145">
        <v>4519</v>
      </c>
      <c r="M394" s="145"/>
      <c r="N394" s="145">
        <v>3810</v>
      </c>
      <c r="O394" s="146"/>
      <c r="P394" s="1"/>
    </row>
    <row r="395" spans="1:16" ht="25.5">
      <c r="A395" s="721">
        <v>16</v>
      </c>
      <c r="B395" s="851"/>
      <c r="C395" s="759" t="s">
        <v>1270</v>
      </c>
      <c r="D395" s="722">
        <v>7197</v>
      </c>
      <c r="E395" s="753"/>
      <c r="F395" s="723">
        <v>5398</v>
      </c>
      <c r="G395" s="723"/>
      <c r="H395" s="723">
        <v>4822</v>
      </c>
      <c r="I395" s="723"/>
      <c r="J395" s="723">
        <v>4246</v>
      </c>
      <c r="K395" s="723"/>
      <c r="L395" s="145">
        <v>3670</v>
      </c>
      <c r="M395" s="145"/>
      <c r="N395" s="145">
        <v>3095</v>
      </c>
      <c r="O395" s="146"/>
      <c r="P395" s="1"/>
    </row>
    <row r="396" spans="1:16" ht="25.5">
      <c r="A396" s="721">
        <v>17</v>
      </c>
      <c r="B396" s="851"/>
      <c r="C396" s="759" t="s">
        <v>1271</v>
      </c>
      <c r="D396" s="722">
        <v>5538</v>
      </c>
      <c r="E396" s="753"/>
      <c r="F396" s="723">
        <v>4154</v>
      </c>
      <c r="G396" s="723"/>
      <c r="H396" s="723">
        <v>3710</v>
      </c>
      <c r="I396" s="723"/>
      <c r="J396" s="723">
        <v>3267</v>
      </c>
      <c r="K396" s="723"/>
      <c r="L396" s="145">
        <v>2824</v>
      </c>
      <c r="M396" s="145"/>
      <c r="N396" s="145">
        <v>2381</v>
      </c>
      <c r="O396" s="146"/>
      <c r="P396" s="1"/>
    </row>
    <row r="397" spans="1:16" ht="25.5">
      <c r="A397" s="721">
        <v>18</v>
      </c>
      <c r="B397" s="851" t="s">
        <v>1282</v>
      </c>
      <c r="C397" s="759" t="s">
        <v>1281</v>
      </c>
      <c r="D397" s="722">
        <v>22149</v>
      </c>
      <c r="E397" s="753"/>
      <c r="F397" s="723">
        <v>16612</v>
      </c>
      <c r="G397" s="723"/>
      <c r="H397" s="723">
        <v>14840</v>
      </c>
      <c r="I397" s="723"/>
      <c r="J397" s="723">
        <v>13068</v>
      </c>
      <c r="K397" s="723"/>
      <c r="L397" s="145">
        <v>11296</v>
      </c>
      <c r="M397" s="145"/>
      <c r="N397" s="145">
        <v>9524</v>
      </c>
      <c r="O397" s="146"/>
      <c r="P397" s="1"/>
    </row>
    <row r="398" spans="1:16" ht="25.5">
      <c r="A398" s="721">
        <v>19</v>
      </c>
      <c r="B398" s="851"/>
      <c r="C398" s="759" t="s">
        <v>1270</v>
      </c>
      <c r="D398" s="722">
        <v>11075</v>
      </c>
      <c r="E398" s="753"/>
      <c r="F398" s="723">
        <v>8306</v>
      </c>
      <c r="G398" s="723"/>
      <c r="H398" s="723">
        <v>7420</v>
      </c>
      <c r="I398" s="723"/>
      <c r="J398" s="723">
        <v>6534</v>
      </c>
      <c r="K398" s="723"/>
      <c r="L398" s="145">
        <v>5648</v>
      </c>
      <c r="M398" s="145"/>
      <c r="N398" s="145">
        <v>4762</v>
      </c>
      <c r="O398" s="146"/>
      <c r="P398" s="1"/>
    </row>
    <row r="399" spans="1:16" ht="25.5">
      <c r="A399" s="721">
        <v>20</v>
      </c>
      <c r="B399" s="851"/>
      <c r="C399" s="759" t="s">
        <v>1271</v>
      </c>
      <c r="D399" s="722">
        <v>7753</v>
      </c>
      <c r="E399" s="753"/>
      <c r="F399" s="723">
        <v>5815</v>
      </c>
      <c r="G399" s="723"/>
      <c r="H399" s="723">
        <v>5195</v>
      </c>
      <c r="I399" s="723"/>
      <c r="J399" s="723">
        <v>4574</v>
      </c>
      <c r="K399" s="723"/>
      <c r="L399" s="145">
        <v>3954</v>
      </c>
      <c r="M399" s="145"/>
      <c r="N399" s="145">
        <v>3334</v>
      </c>
      <c r="O399" s="146"/>
      <c r="P399" s="1"/>
    </row>
    <row r="400" spans="1:16" ht="25.5">
      <c r="A400" s="721">
        <v>21</v>
      </c>
      <c r="B400" s="851" t="s">
        <v>1283</v>
      </c>
      <c r="C400" s="759" t="s">
        <v>1281</v>
      </c>
      <c r="D400" s="722">
        <v>19270</v>
      </c>
      <c r="E400" s="753"/>
      <c r="F400" s="723">
        <v>14453</v>
      </c>
      <c r="G400" s="723"/>
      <c r="H400" s="723">
        <v>12911</v>
      </c>
      <c r="I400" s="723"/>
      <c r="J400" s="723">
        <v>11369</v>
      </c>
      <c r="K400" s="723"/>
      <c r="L400" s="145">
        <v>9828</v>
      </c>
      <c r="M400" s="145"/>
      <c r="N400" s="145">
        <v>8286</v>
      </c>
      <c r="O400" s="146"/>
      <c r="P400" s="1"/>
    </row>
    <row r="401" spans="1:16" ht="25.5">
      <c r="A401" s="721">
        <v>22</v>
      </c>
      <c r="B401" s="851"/>
      <c r="C401" s="759" t="s">
        <v>1270</v>
      </c>
      <c r="D401" s="722">
        <v>9635</v>
      </c>
      <c r="E401" s="753"/>
      <c r="F401" s="723">
        <v>7226</v>
      </c>
      <c r="G401" s="723"/>
      <c r="H401" s="723">
        <v>6455</v>
      </c>
      <c r="I401" s="723"/>
      <c r="J401" s="723">
        <v>5685</v>
      </c>
      <c r="K401" s="723"/>
      <c r="L401" s="145">
        <v>4914</v>
      </c>
      <c r="M401" s="145"/>
      <c r="N401" s="145">
        <v>4143</v>
      </c>
      <c r="O401" s="146"/>
      <c r="P401" s="1"/>
    </row>
    <row r="402" spans="1:16" ht="25.5">
      <c r="A402" s="721">
        <v>23</v>
      </c>
      <c r="B402" s="851"/>
      <c r="C402" s="759" t="s">
        <v>1271</v>
      </c>
      <c r="D402" s="722">
        <v>7419</v>
      </c>
      <c r="E402" s="753"/>
      <c r="F402" s="723">
        <v>5564</v>
      </c>
      <c r="G402" s="723"/>
      <c r="H402" s="723">
        <v>4971</v>
      </c>
      <c r="I402" s="723"/>
      <c r="J402" s="723">
        <v>4377</v>
      </c>
      <c r="K402" s="723"/>
      <c r="L402" s="145">
        <v>3784</v>
      </c>
      <c r="M402" s="145"/>
      <c r="N402" s="145">
        <v>3190</v>
      </c>
      <c r="O402" s="146"/>
      <c r="P402" s="1"/>
    </row>
    <row r="403" spans="1:16" ht="25.5">
      <c r="A403" s="721">
        <v>24</v>
      </c>
      <c r="B403" s="851" t="s">
        <v>1284</v>
      </c>
      <c r="C403" s="759" t="s">
        <v>1285</v>
      </c>
      <c r="D403" s="722">
        <v>3437</v>
      </c>
      <c r="E403" s="753"/>
      <c r="F403" s="723">
        <v>2578</v>
      </c>
      <c r="G403" s="723"/>
      <c r="H403" s="723">
        <v>2303</v>
      </c>
      <c r="I403" s="723"/>
      <c r="J403" s="723">
        <v>2028</v>
      </c>
      <c r="K403" s="723"/>
      <c r="L403" s="145">
        <v>1753</v>
      </c>
      <c r="M403" s="145"/>
      <c r="N403" s="145">
        <v>1478</v>
      </c>
      <c r="O403" s="146"/>
      <c r="P403" s="1"/>
    </row>
    <row r="404" spans="1:16" ht="25.5">
      <c r="A404" s="721">
        <v>25</v>
      </c>
      <c r="B404" s="851"/>
      <c r="C404" s="759" t="s">
        <v>1286</v>
      </c>
      <c r="D404" s="722">
        <v>4201</v>
      </c>
      <c r="E404" s="753"/>
      <c r="F404" s="723">
        <v>3151</v>
      </c>
      <c r="G404" s="723"/>
      <c r="H404" s="723">
        <v>2815</v>
      </c>
      <c r="I404" s="723"/>
      <c r="J404" s="723">
        <v>2479</v>
      </c>
      <c r="K404" s="723"/>
      <c r="L404" s="145">
        <v>2143</v>
      </c>
      <c r="M404" s="145"/>
      <c r="N404" s="145">
        <v>1806</v>
      </c>
      <c r="O404" s="146"/>
      <c r="P404" s="1"/>
    </row>
    <row r="405" spans="1:16" ht="25.5">
      <c r="A405" s="721">
        <v>26</v>
      </c>
      <c r="B405" s="851" t="s">
        <v>1287</v>
      </c>
      <c r="C405" s="759" t="s">
        <v>1285</v>
      </c>
      <c r="D405" s="722">
        <v>2713</v>
      </c>
      <c r="E405" s="753"/>
      <c r="F405" s="723">
        <v>2035</v>
      </c>
      <c r="G405" s="723"/>
      <c r="H405" s="723">
        <v>1818</v>
      </c>
      <c r="I405" s="723"/>
      <c r="J405" s="723">
        <v>1601</v>
      </c>
      <c r="K405" s="723"/>
      <c r="L405" s="145">
        <v>1384</v>
      </c>
      <c r="M405" s="145"/>
      <c r="N405" s="145">
        <v>1167</v>
      </c>
      <c r="O405" s="146"/>
      <c r="P405" s="1"/>
    </row>
    <row r="406" spans="1:16" ht="25.5">
      <c r="A406" s="721">
        <v>27</v>
      </c>
      <c r="B406" s="851"/>
      <c r="C406" s="759" t="s">
        <v>1286</v>
      </c>
      <c r="D406" s="722">
        <v>2972</v>
      </c>
      <c r="E406" s="753"/>
      <c r="F406" s="723">
        <v>2229</v>
      </c>
      <c r="G406" s="723"/>
      <c r="H406" s="723">
        <v>1991</v>
      </c>
      <c r="I406" s="723"/>
      <c r="J406" s="723">
        <v>1753</v>
      </c>
      <c r="K406" s="723"/>
      <c r="L406" s="145">
        <v>1516</v>
      </c>
      <c r="M406" s="145"/>
      <c r="N406" s="145">
        <v>1278</v>
      </c>
      <c r="O406" s="146"/>
      <c r="P406" s="1"/>
    </row>
    <row r="407" spans="1:16" ht="25.5">
      <c r="A407" s="721">
        <v>28</v>
      </c>
      <c r="B407" s="851" t="s">
        <v>1288</v>
      </c>
      <c r="C407" s="759" t="s">
        <v>1285</v>
      </c>
      <c r="D407" s="722">
        <v>2990</v>
      </c>
      <c r="E407" s="753"/>
      <c r="F407" s="723">
        <v>2243</v>
      </c>
      <c r="G407" s="723"/>
      <c r="H407" s="723">
        <v>2003</v>
      </c>
      <c r="I407" s="723"/>
      <c r="J407" s="723">
        <v>1764</v>
      </c>
      <c r="K407" s="723"/>
      <c r="L407" s="145">
        <v>1525</v>
      </c>
      <c r="M407" s="145"/>
      <c r="N407" s="145">
        <v>1286</v>
      </c>
      <c r="O407" s="146"/>
      <c r="P407" s="1"/>
    </row>
    <row r="408" spans="1:16" ht="25.5">
      <c r="A408" s="721">
        <v>29</v>
      </c>
      <c r="B408" s="851"/>
      <c r="C408" s="759" t="s">
        <v>1286</v>
      </c>
      <c r="D408" s="722">
        <v>4210</v>
      </c>
      <c r="E408" s="753"/>
      <c r="F408" s="723">
        <v>3158</v>
      </c>
      <c r="G408" s="723"/>
      <c r="H408" s="723">
        <v>2821</v>
      </c>
      <c r="I408" s="723"/>
      <c r="J408" s="723">
        <v>2484</v>
      </c>
      <c r="K408" s="723"/>
      <c r="L408" s="145">
        <v>2147</v>
      </c>
      <c r="M408" s="145"/>
      <c r="N408" s="145">
        <v>1810</v>
      </c>
      <c r="O408" s="146"/>
      <c r="P408" s="1"/>
    </row>
    <row r="409" spans="1:16" ht="25.5">
      <c r="A409" s="724">
        <v>30</v>
      </c>
      <c r="B409" s="854" t="s">
        <v>1289</v>
      </c>
      <c r="C409" s="855"/>
      <c r="D409" s="725">
        <v>3778</v>
      </c>
      <c r="E409" s="754">
        <v>2607</v>
      </c>
      <c r="F409" s="726">
        <v>2758</v>
      </c>
      <c r="G409" s="726">
        <v>1904</v>
      </c>
      <c r="H409" s="726">
        <v>2525</v>
      </c>
      <c r="I409" s="726">
        <v>1743</v>
      </c>
      <c r="J409" s="726">
        <v>2268</v>
      </c>
      <c r="K409" s="726">
        <v>1565</v>
      </c>
      <c r="L409" s="147">
        <v>2010</v>
      </c>
      <c r="M409" s="147">
        <v>1387</v>
      </c>
      <c r="N409" s="147">
        <v>1754</v>
      </c>
      <c r="O409" s="148">
        <v>1210</v>
      </c>
      <c r="P409" s="1"/>
    </row>
    <row r="410" spans="1:16" ht="25.5">
      <c r="A410" s="721">
        <v>31</v>
      </c>
      <c r="B410" s="852" t="s">
        <v>1290</v>
      </c>
      <c r="C410" s="853"/>
      <c r="D410" s="722">
        <v>2868</v>
      </c>
      <c r="E410" s="753">
        <v>1979</v>
      </c>
      <c r="F410" s="723">
        <v>1917</v>
      </c>
      <c r="G410" s="723">
        <v>1323</v>
      </c>
      <c r="H410" s="723">
        <v>1658</v>
      </c>
      <c r="I410" s="723">
        <v>1145</v>
      </c>
      <c r="J410" s="723">
        <v>1428</v>
      </c>
      <c r="K410" s="723">
        <v>985</v>
      </c>
      <c r="L410" s="145">
        <v>1168</v>
      </c>
      <c r="M410" s="145">
        <v>805</v>
      </c>
      <c r="N410" s="145">
        <v>933</v>
      </c>
      <c r="O410" s="146">
        <v>644</v>
      </c>
      <c r="P410" s="1"/>
    </row>
    <row r="411" spans="1:16" ht="25.5">
      <c r="A411" s="721">
        <v>32</v>
      </c>
      <c r="B411" s="852" t="s">
        <v>1291</v>
      </c>
      <c r="C411" s="853"/>
      <c r="D411" s="722">
        <v>2607</v>
      </c>
      <c r="E411" s="753">
        <v>1434</v>
      </c>
      <c r="F411" s="723">
        <v>1760</v>
      </c>
      <c r="G411" s="723">
        <v>968</v>
      </c>
      <c r="H411" s="723">
        <v>1554</v>
      </c>
      <c r="I411" s="723">
        <v>855</v>
      </c>
      <c r="J411" s="723">
        <v>1320</v>
      </c>
      <c r="K411" s="723">
        <v>726</v>
      </c>
      <c r="L411" s="145">
        <v>1085</v>
      </c>
      <c r="M411" s="145">
        <v>596</v>
      </c>
      <c r="N411" s="145">
        <v>852</v>
      </c>
      <c r="O411" s="146">
        <v>468</v>
      </c>
      <c r="P411" s="1"/>
    </row>
    <row r="412" spans="1:16" ht="25.5">
      <c r="A412" s="721">
        <v>33</v>
      </c>
      <c r="B412" s="852" t="s">
        <v>1292</v>
      </c>
      <c r="C412" s="853"/>
      <c r="D412" s="722"/>
      <c r="E412" s="753"/>
      <c r="F412" s="723">
        <v>1290</v>
      </c>
      <c r="G412" s="723">
        <v>517</v>
      </c>
      <c r="H412" s="723">
        <v>1089</v>
      </c>
      <c r="I412" s="723">
        <v>436</v>
      </c>
      <c r="J412" s="723">
        <v>886</v>
      </c>
      <c r="K412" s="723">
        <v>355</v>
      </c>
      <c r="L412" s="145">
        <v>686</v>
      </c>
      <c r="M412" s="145">
        <v>274</v>
      </c>
      <c r="N412" s="145">
        <v>483</v>
      </c>
      <c r="O412" s="146">
        <v>193</v>
      </c>
      <c r="P412" s="1"/>
    </row>
    <row r="413" spans="1:16" ht="25.5">
      <c r="A413" s="721">
        <v>34</v>
      </c>
      <c r="B413" s="852" t="s">
        <v>1293</v>
      </c>
      <c r="C413" s="853"/>
      <c r="D413" s="722">
        <v>2528</v>
      </c>
      <c r="E413" s="753">
        <v>1745</v>
      </c>
      <c r="F413" s="723">
        <v>1745</v>
      </c>
      <c r="G413" s="723">
        <v>1204</v>
      </c>
      <c r="H413" s="723">
        <v>1581</v>
      </c>
      <c r="I413" s="723">
        <v>1091</v>
      </c>
      <c r="J413" s="723">
        <v>1439</v>
      </c>
      <c r="K413" s="723">
        <v>992</v>
      </c>
      <c r="L413" s="145">
        <v>1276</v>
      </c>
      <c r="M413" s="145">
        <v>880</v>
      </c>
      <c r="N413" s="145">
        <v>1131</v>
      </c>
      <c r="O413" s="146">
        <v>781</v>
      </c>
      <c r="P413" s="1"/>
    </row>
    <row r="414" spans="1:16" ht="25.5">
      <c r="A414" s="721">
        <v>35</v>
      </c>
      <c r="B414" s="852" t="s">
        <v>1294</v>
      </c>
      <c r="C414" s="853"/>
      <c r="D414" s="722">
        <v>1877</v>
      </c>
      <c r="E414" s="753">
        <v>1296</v>
      </c>
      <c r="F414" s="723">
        <v>1260</v>
      </c>
      <c r="G414" s="723">
        <v>868</v>
      </c>
      <c r="H414" s="723">
        <v>1101</v>
      </c>
      <c r="I414" s="723">
        <v>760</v>
      </c>
      <c r="J414" s="723">
        <v>926</v>
      </c>
      <c r="K414" s="723">
        <v>639</v>
      </c>
      <c r="L414" s="145">
        <v>776</v>
      </c>
      <c r="M414" s="145">
        <v>536</v>
      </c>
      <c r="N414" s="145">
        <v>626</v>
      </c>
      <c r="O414" s="146">
        <v>432</v>
      </c>
      <c r="P414" s="1"/>
    </row>
    <row r="415" spans="1:16" ht="25.5">
      <c r="A415" s="721">
        <v>36</v>
      </c>
      <c r="B415" s="852" t="s">
        <v>1295</v>
      </c>
      <c r="C415" s="853"/>
      <c r="D415" s="722">
        <v>1204</v>
      </c>
      <c r="E415" s="753">
        <v>663</v>
      </c>
      <c r="F415" s="723">
        <v>813</v>
      </c>
      <c r="G415" s="723">
        <v>447</v>
      </c>
      <c r="H415" s="723">
        <v>723</v>
      </c>
      <c r="I415" s="723">
        <v>398</v>
      </c>
      <c r="J415" s="723">
        <v>621</v>
      </c>
      <c r="K415" s="723">
        <v>341</v>
      </c>
      <c r="L415" s="145">
        <v>510</v>
      </c>
      <c r="M415" s="145">
        <v>280</v>
      </c>
      <c r="N415" s="145">
        <v>392</v>
      </c>
      <c r="O415" s="146">
        <v>215</v>
      </c>
      <c r="P415" s="1"/>
    </row>
    <row r="416" spans="1:16" ht="25.5">
      <c r="A416" s="721">
        <v>37</v>
      </c>
      <c r="B416" s="852" t="s">
        <v>1296</v>
      </c>
      <c r="C416" s="853"/>
      <c r="D416" s="722"/>
      <c r="E416" s="753"/>
      <c r="F416" s="723">
        <v>695</v>
      </c>
      <c r="G416" s="723">
        <v>278</v>
      </c>
      <c r="H416" s="723">
        <v>618</v>
      </c>
      <c r="I416" s="723">
        <v>248</v>
      </c>
      <c r="J416" s="723">
        <v>526</v>
      </c>
      <c r="K416" s="723">
        <v>210</v>
      </c>
      <c r="L416" s="145">
        <v>424</v>
      </c>
      <c r="M416" s="145">
        <v>170</v>
      </c>
      <c r="N416" s="145">
        <v>348</v>
      </c>
      <c r="O416" s="146">
        <v>139</v>
      </c>
      <c r="P416" s="1"/>
    </row>
    <row r="417" spans="1:16" ht="25.5">
      <c r="A417" s="721">
        <v>38</v>
      </c>
      <c r="B417" s="852" t="s">
        <v>1297</v>
      </c>
      <c r="C417" s="853"/>
      <c r="D417" s="722">
        <v>1882</v>
      </c>
      <c r="E417" s="753">
        <v>1299</v>
      </c>
      <c r="F417" s="723">
        <v>697</v>
      </c>
      <c r="G417" s="723">
        <v>481</v>
      </c>
      <c r="H417" s="723">
        <v>589</v>
      </c>
      <c r="I417" s="723">
        <v>406</v>
      </c>
      <c r="J417" s="723">
        <v>481</v>
      </c>
      <c r="K417" s="723">
        <v>332</v>
      </c>
      <c r="L417" s="145">
        <v>350</v>
      </c>
      <c r="M417" s="145">
        <v>242</v>
      </c>
      <c r="N417" s="145">
        <v>238</v>
      </c>
      <c r="O417" s="146">
        <v>165</v>
      </c>
      <c r="P417" s="1"/>
    </row>
    <row r="418" spans="1:16" ht="25.5">
      <c r="A418" s="721">
        <v>39</v>
      </c>
      <c r="B418" s="852" t="s">
        <v>1298</v>
      </c>
      <c r="C418" s="853"/>
      <c r="D418" s="722"/>
      <c r="E418" s="753"/>
      <c r="F418" s="723">
        <v>807</v>
      </c>
      <c r="G418" s="723">
        <v>558</v>
      </c>
      <c r="H418" s="723">
        <v>719</v>
      </c>
      <c r="I418" s="723">
        <v>497</v>
      </c>
      <c r="J418" s="723">
        <v>610</v>
      </c>
      <c r="K418" s="723">
        <v>421</v>
      </c>
      <c r="L418" s="145">
        <v>524</v>
      </c>
      <c r="M418" s="145">
        <v>361</v>
      </c>
      <c r="N418" s="145">
        <v>416</v>
      </c>
      <c r="O418" s="146">
        <v>287</v>
      </c>
      <c r="P418" s="1"/>
    </row>
    <row r="419" spans="1:16" ht="25.5">
      <c r="A419" s="721">
        <v>40</v>
      </c>
      <c r="B419" s="852" t="s">
        <v>1299</v>
      </c>
      <c r="C419" s="853"/>
      <c r="D419" s="722"/>
      <c r="E419" s="753"/>
      <c r="F419" s="723">
        <v>574</v>
      </c>
      <c r="G419" s="723">
        <v>396</v>
      </c>
      <c r="H419" s="723">
        <v>397</v>
      </c>
      <c r="I419" s="723">
        <v>159</v>
      </c>
      <c r="J419" s="723">
        <v>180</v>
      </c>
      <c r="K419" s="723">
        <v>71</v>
      </c>
      <c r="L419" s="145"/>
      <c r="M419" s="145"/>
      <c r="N419" s="145"/>
      <c r="O419" s="146"/>
      <c r="P419" s="1"/>
    </row>
    <row r="420" spans="1:16" ht="25.5">
      <c r="A420" s="721">
        <v>41</v>
      </c>
      <c r="B420" s="852" t="s">
        <v>1300</v>
      </c>
      <c r="C420" s="853"/>
      <c r="D420" s="722"/>
      <c r="E420" s="753"/>
      <c r="F420" s="723">
        <v>567</v>
      </c>
      <c r="G420" s="723">
        <f>+F420*0.69</f>
        <v>391.22999999999996</v>
      </c>
      <c r="H420" s="723">
        <f>+G419/F419*F420</f>
        <v>391.1707317073171</v>
      </c>
      <c r="I420" s="723">
        <f>+I419*H420/H419</f>
        <v>156.66535602383732</v>
      </c>
      <c r="J420" s="723">
        <f>+J419*H420/H419</f>
        <v>177.35700681943845</v>
      </c>
      <c r="K420" s="723">
        <f>+I420/I419*K419</f>
        <v>69.95748602322296</v>
      </c>
      <c r="L420" s="145"/>
      <c r="M420" s="145"/>
      <c r="N420" s="145"/>
      <c r="O420" s="146"/>
      <c r="P420" s="1"/>
    </row>
    <row r="421" spans="1:16" ht="26.25" thickBot="1">
      <c r="A421" s="727">
        <v>42</v>
      </c>
      <c r="B421" s="856" t="s">
        <v>1301</v>
      </c>
      <c r="C421" s="857"/>
      <c r="D421" s="728">
        <v>2816</v>
      </c>
      <c r="E421" s="755">
        <v>1943</v>
      </c>
      <c r="F421" s="729">
        <v>1790</v>
      </c>
      <c r="G421" s="729">
        <v>1235</v>
      </c>
      <c r="H421" s="729">
        <v>1561</v>
      </c>
      <c r="I421" s="729">
        <v>1077</v>
      </c>
      <c r="J421" s="729">
        <v>1351</v>
      </c>
      <c r="K421" s="729">
        <v>932</v>
      </c>
      <c r="L421" s="149">
        <v>1124</v>
      </c>
      <c r="M421" s="149">
        <v>775</v>
      </c>
      <c r="N421" s="149">
        <v>896</v>
      </c>
      <c r="O421" s="150">
        <v>618</v>
      </c>
      <c r="P421" s="1"/>
    </row>
    <row r="422" spans="1:16" ht="26.25">
      <c r="A422" s="469"/>
      <c r="B422" s="469"/>
      <c r="C422" s="469"/>
      <c r="D422" s="469"/>
      <c r="E422" s="734"/>
      <c r="F422" s="470"/>
      <c r="G422" s="470"/>
      <c r="H422" s="470"/>
      <c r="I422" s="470"/>
      <c r="J422" s="470"/>
      <c r="K422" s="470"/>
      <c r="L422" s="1"/>
      <c r="M422" s="1"/>
      <c r="N422" s="1"/>
      <c r="O422" s="1"/>
      <c r="P422" s="1"/>
    </row>
    <row r="423" spans="1:16" ht="26.25">
      <c r="A423" s="469"/>
      <c r="B423" s="469"/>
      <c r="C423" s="469"/>
      <c r="D423" s="469"/>
      <c r="E423" s="734"/>
      <c r="F423" s="470"/>
      <c r="G423" s="470"/>
      <c r="H423" s="470"/>
      <c r="I423" s="470"/>
      <c r="J423" s="470"/>
      <c r="K423" s="470"/>
      <c r="L423" s="1"/>
      <c r="M423" s="1"/>
      <c r="N423" s="1"/>
      <c r="O423" s="1"/>
      <c r="P423" s="1"/>
    </row>
    <row r="424" spans="1:16" ht="26.25">
      <c r="A424" s="469" t="s">
        <v>1494</v>
      </c>
      <c r="B424" s="469" t="s">
        <v>1546</v>
      </c>
      <c r="C424" s="469"/>
      <c r="D424" s="858" t="s">
        <v>579</v>
      </c>
      <c r="E424" s="858"/>
      <c r="F424" s="858"/>
      <c r="G424" s="470"/>
      <c r="H424" s="470"/>
      <c r="I424" s="470"/>
      <c r="J424" s="470"/>
      <c r="K424" s="470"/>
      <c r="L424" s="1"/>
      <c r="M424" s="1"/>
      <c r="N424" s="1"/>
      <c r="O424" s="1"/>
      <c r="P424" s="1"/>
    </row>
    <row r="425" spans="1:16" ht="26.25">
      <c r="A425" s="469"/>
      <c r="B425" s="469"/>
      <c r="C425" s="469" t="s">
        <v>101</v>
      </c>
      <c r="D425" s="469"/>
      <c r="E425" s="756"/>
      <c r="F425" s="730"/>
      <c r="G425" s="470"/>
      <c r="H425" s="470"/>
      <c r="I425" s="470"/>
      <c r="J425" s="470"/>
      <c r="K425" s="470"/>
      <c r="L425" s="1"/>
      <c r="M425" s="1"/>
      <c r="N425" s="1"/>
      <c r="O425" s="1"/>
      <c r="P425" s="1"/>
    </row>
    <row r="426" spans="1:16" ht="26.25">
      <c r="A426" s="469"/>
      <c r="B426" s="469"/>
      <c r="C426" s="469"/>
      <c r="D426" s="469"/>
      <c r="E426" s="734"/>
      <c r="F426" s="470"/>
      <c r="G426" s="470"/>
      <c r="H426" s="470"/>
      <c r="I426" s="470"/>
      <c r="J426" s="470"/>
      <c r="K426" s="470"/>
      <c r="L426" s="1"/>
      <c r="M426" s="1"/>
      <c r="N426" s="1"/>
      <c r="O426" s="1"/>
      <c r="P426" s="1"/>
    </row>
    <row r="427" spans="1:16" ht="26.25">
      <c r="A427" s="469"/>
      <c r="B427" s="469"/>
      <c r="C427" s="469"/>
      <c r="D427" s="469"/>
      <c r="E427" s="734"/>
      <c r="F427" s="470"/>
      <c r="G427" s="470"/>
      <c r="H427" s="470"/>
      <c r="I427" s="470"/>
      <c r="J427" s="470"/>
      <c r="K427" s="470"/>
      <c r="L427" s="1"/>
      <c r="M427" s="1"/>
      <c r="N427" s="1"/>
      <c r="O427" s="1"/>
      <c r="P427" s="1"/>
    </row>
  </sheetData>
  <sheetProtection/>
  <mergeCells count="59">
    <mergeCell ref="B418:C418"/>
    <mergeCell ref="B419:C419"/>
    <mergeCell ref="B420:C420"/>
    <mergeCell ref="B421:C421"/>
    <mergeCell ref="D424:F424"/>
    <mergeCell ref="B412:C412"/>
    <mergeCell ref="B413:C413"/>
    <mergeCell ref="B414:C414"/>
    <mergeCell ref="B415:C415"/>
    <mergeCell ref="B416:C416"/>
    <mergeCell ref="B417:C417"/>
    <mergeCell ref="B403:B404"/>
    <mergeCell ref="B405:B406"/>
    <mergeCell ref="B407:B408"/>
    <mergeCell ref="B409:C409"/>
    <mergeCell ref="B410:C410"/>
    <mergeCell ref="B411:C411"/>
    <mergeCell ref="B380:B383"/>
    <mergeCell ref="B384:B387"/>
    <mergeCell ref="B388:B393"/>
    <mergeCell ref="B394:B396"/>
    <mergeCell ref="B397:B399"/>
    <mergeCell ref="B400:B402"/>
    <mergeCell ref="F377:O377"/>
    <mergeCell ref="F378:G378"/>
    <mergeCell ref="H378:I378"/>
    <mergeCell ref="J378:K378"/>
    <mergeCell ref="L378:M378"/>
    <mergeCell ref="N378:O378"/>
    <mergeCell ref="A353:B353"/>
    <mergeCell ref="A355:B355"/>
    <mergeCell ref="A362:B362"/>
    <mergeCell ref="A377:A379"/>
    <mergeCell ref="B377:C379"/>
    <mergeCell ref="D377:E378"/>
    <mergeCell ref="A254:B254"/>
    <mergeCell ref="A266:B266"/>
    <mergeCell ref="A283:B283"/>
    <mergeCell ref="A301:B301"/>
    <mergeCell ref="A321:B321"/>
    <mergeCell ref="A344:B344"/>
    <mergeCell ref="A101:B101"/>
    <mergeCell ref="A159:B159"/>
    <mergeCell ref="A164:B164"/>
    <mergeCell ref="A185:B185"/>
    <mergeCell ref="A196:B196"/>
    <mergeCell ref="A216:B216"/>
    <mergeCell ref="A26:B26"/>
    <mergeCell ref="A70:B70"/>
    <mergeCell ref="A76:B76"/>
    <mergeCell ref="A81:B81"/>
    <mergeCell ref="A92:B92"/>
    <mergeCell ref="A100:B100"/>
    <mergeCell ref="I2:K2"/>
    <mergeCell ref="I5:L5"/>
    <mergeCell ref="M5:P5"/>
    <mergeCell ref="B6:J7"/>
    <mergeCell ref="A8:B8"/>
    <mergeCell ref="A10:B10"/>
  </mergeCells>
  <printOptions horizontalCentered="1"/>
  <pageMargins left="0.7086614173228347" right="0.11811023622047245" top="0.15748031496062992" bottom="0.15748031496062992" header="0.31496062992125984" footer="0.31496062992125984"/>
  <pageSetup fitToHeight="0" fitToWidth="1" horizontalDpi="600" verticalDpi="600" orientation="landscape" paperSize="9" scale="37"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F56"/>
  <sheetViews>
    <sheetView zoomScale="85" zoomScaleNormal="85" zoomScalePageLayoutView="0" workbookViewId="0" topLeftCell="A1">
      <selection activeCell="A57" sqref="A57"/>
    </sheetView>
  </sheetViews>
  <sheetFormatPr defaultColWidth="9.140625" defaultRowHeight="15"/>
  <cols>
    <col min="1" max="6" width="30.140625" style="0" customWidth="1"/>
  </cols>
  <sheetData>
    <row r="1" spans="1:6" ht="15.75">
      <c r="A1" s="75"/>
      <c r="B1" s="75"/>
      <c r="C1" s="75"/>
      <c r="D1" s="75"/>
      <c r="E1" s="75"/>
      <c r="F1" s="75"/>
    </row>
    <row r="2" spans="1:6" ht="15.75">
      <c r="A2" s="75"/>
      <c r="B2" s="75"/>
      <c r="C2" s="75"/>
      <c r="D2" s="75"/>
      <c r="E2" s="75"/>
      <c r="F2" s="75"/>
    </row>
    <row r="3" spans="1:6" ht="18.75">
      <c r="A3" s="53" t="s">
        <v>102</v>
      </c>
      <c r="B3" s="54"/>
      <c r="C3" s="137"/>
      <c r="D3" s="137"/>
      <c r="E3" s="137"/>
      <c r="F3" s="135" t="s">
        <v>1302</v>
      </c>
    </row>
    <row r="4" spans="1:6" ht="18.75">
      <c r="A4" s="53" t="s">
        <v>2</v>
      </c>
      <c r="B4" s="54"/>
      <c r="C4" s="137"/>
      <c r="D4" s="137"/>
      <c r="E4" s="137"/>
      <c r="F4" s="75"/>
    </row>
    <row r="5" spans="1:6" ht="15.75">
      <c r="A5" s="75"/>
      <c r="B5" s="75"/>
      <c r="C5" s="75"/>
      <c r="D5" s="75"/>
      <c r="E5" s="75"/>
      <c r="F5" s="75"/>
    </row>
    <row r="6" spans="1:6" ht="15.75">
      <c r="A6" s="75"/>
      <c r="B6" s="75"/>
      <c r="C6" s="75"/>
      <c r="D6" s="75"/>
      <c r="E6" s="75"/>
      <c r="F6" s="75"/>
    </row>
    <row r="7" spans="1:6" ht="20.25">
      <c r="A7" s="859" t="s">
        <v>1303</v>
      </c>
      <c r="B7" s="859"/>
      <c r="C7" s="859"/>
      <c r="D7" s="859"/>
      <c r="E7" s="859"/>
      <c r="F7" s="859"/>
    </row>
    <row r="8" spans="1:6" ht="15.75">
      <c r="A8" s="75"/>
      <c r="B8" s="75"/>
      <c r="C8" s="75"/>
      <c r="D8" s="75"/>
      <c r="E8" s="75"/>
      <c r="F8" s="4"/>
    </row>
    <row r="9" spans="1:6" ht="16.5" thickBot="1">
      <c r="A9" s="75"/>
      <c r="B9" s="75"/>
      <c r="C9" s="75"/>
      <c r="D9" s="75"/>
      <c r="E9" s="75"/>
      <c r="F9" s="151" t="s">
        <v>495</v>
      </c>
    </row>
    <row r="10" spans="1:6" ht="15.75" thickBot="1">
      <c r="A10" s="860" t="s">
        <v>1495</v>
      </c>
      <c r="B10" s="860"/>
      <c r="C10" s="860"/>
      <c r="D10" s="860"/>
      <c r="E10" s="860"/>
      <c r="F10" s="860"/>
    </row>
    <row r="11" spans="1:6" ht="15">
      <c r="A11" s="860"/>
      <c r="B11" s="860"/>
      <c r="C11" s="860"/>
      <c r="D11" s="860"/>
      <c r="E11" s="860"/>
      <c r="F11" s="860"/>
    </row>
    <row r="12" spans="1:6" ht="47.25">
      <c r="A12" s="152" t="s">
        <v>1304</v>
      </c>
      <c r="B12" s="153" t="s">
        <v>1305</v>
      </c>
      <c r="C12" s="153" t="s">
        <v>1306</v>
      </c>
      <c r="D12" s="153" t="s">
        <v>1307</v>
      </c>
      <c r="E12" s="153" t="s">
        <v>1308</v>
      </c>
      <c r="F12" s="154" t="s">
        <v>1309</v>
      </c>
    </row>
    <row r="13" spans="1:6" ht="15.75">
      <c r="A13" s="155"/>
      <c r="B13" s="153">
        <v>1</v>
      </c>
      <c r="C13" s="153">
        <v>2</v>
      </c>
      <c r="D13" s="153">
        <v>3</v>
      </c>
      <c r="E13" s="153" t="s">
        <v>1310</v>
      </c>
      <c r="F13" s="154">
        <v>5</v>
      </c>
    </row>
    <row r="14" spans="1:6" ht="15.75">
      <c r="A14" s="156" t="s">
        <v>1311</v>
      </c>
      <c r="B14" s="157">
        <v>30833000</v>
      </c>
      <c r="C14" s="157">
        <v>7913131</v>
      </c>
      <c r="D14" s="157">
        <v>7913131</v>
      </c>
      <c r="E14" s="157">
        <f>B14-D14</f>
        <v>22919869</v>
      </c>
      <c r="F14" s="337">
        <f>D14/B14</f>
        <v>0.2566448610255246</v>
      </c>
    </row>
    <row r="15" spans="1:6" ht="15.75">
      <c r="A15" s="159" t="s">
        <v>1312</v>
      </c>
      <c r="B15" s="177">
        <v>120000000</v>
      </c>
      <c r="C15" s="96">
        <v>184990000</v>
      </c>
      <c r="D15" s="177">
        <v>64792800</v>
      </c>
      <c r="E15" s="157">
        <f>+C15-D15</f>
        <v>120197200</v>
      </c>
      <c r="F15" s="337">
        <f>D15/B15</f>
        <v>0.53994</v>
      </c>
    </row>
    <row r="16" spans="1:6" ht="16.5" thickBot="1">
      <c r="A16" s="160" t="s">
        <v>1313</v>
      </c>
      <c r="B16" s="100">
        <f>SUM(B14:B15)</f>
        <v>150833000</v>
      </c>
      <c r="C16" s="338">
        <f>SUM(C14:C15)</f>
        <v>192903131</v>
      </c>
      <c r="D16" s="100">
        <f>SUM(D14:D15)</f>
        <v>72705931</v>
      </c>
      <c r="E16" s="338">
        <f>SUM(E14:E15)</f>
        <v>143117069</v>
      </c>
      <c r="F16" s="337">
        <f>D16/B16</f>
        <v>0.48202933708140794</v>
      </c>
    </row>
    <row r="17" spans="1:6" ht="16.5" thickBot="1">
      <c r="A17" s="162"/>
      <c r="B17" s="163"/>
      <c r="C17" s="164"/>
      <c r="D17" s="165"/>
      <c r="E17" s="166" t="s">
        <v>495</v>
      </c>
      <c r="F17" s="166"/>
    </row>
    <row r="18" spans="1:6" ht="15.75">
      <c r="A18" s="861" t="s">
        <v>1496</v>
      </c>
      <c r="B18" s="861"/>
      <c r="C18" s="861"/>
      <c r="D18" s="861"/>
      <c r="E18" s="861"/>
      <c r="F18" s="167"/>
    </row>
    <row r="19" spans="1:6" ht="15.75">
      <c r="A19" s="168"/>
      <c r="B19" s="153" t="s">
        <v>1314</v>
      </c>
      <c r="C19" s="153" t="s">
        <v>1315</v>
      </c>
      <c r="D19" s="153" t="s">
        <v>1316</v>
      </c>
      <c r="E19" s="169" t="s">
        <v>1317</v>
      </c>
      <c r="F19" s="170"/>
    </row>
    <row r="20" spans="1:6" ht="15.75">
      <c r="A20" s="156" t="s">
        <v>1311</v>
      </c>
      <c r="B20" s="158"/>
      <c r="C20" s="158"/>
      <c r="D20" s="158"/>
      <c r="E20" s="171"/>
      <c r="F20" s="172"/>
    </row>
    <row r="21" spans="1:6" ht="15.75">
      <c r="A21" s="173" t="s">
        <v>1312</v>
      </c>
      <c r="B21" s="96"/>
      <c r="C21" s="96"/>
      <c r="D21" s="96"/>
      <c r="E21" s="174"/>
      <c r="F21" s="172"/>
    </row>
    <row r="22" spans="1:6" ht="16.5" thickBot="1">
      <c r="A22" s="160" t="s">
        <v>1313</v>
      </c>
      <c r="B22" s="100"/>
      <c r="C22" s="100"/>
      <c r="D22" s="100"/>
      <c r="E22" s="175"/>
      <c r="F22" s="172"/>
    </row>
    <row r="23" spans="1:6" ht="16.5" thickBot="1">
      <c r="A23" s="75"/>
      <c r="B23" s="75"/>
      <c r="C23" s="75"/>
      <c r="D23" s="75"/>
      <c r="E23" s="75"/>
      <c r="F23" s="151" t="s">
        <v>495</v>
      </c>
    </row>
    <row r="24" spans="1:6" ht="15.75">
      <c r="A24" s="861" t="s">
        <v>1497</v>
      </c>
      <c r="B24" s="861"/>
      <c r="C24" s="861"/>
      <c r="D24" s="861"/>
      <c r="E24" s="861"/>
      <c r="F24" s="861"/>
    </row>
    <row r="25" spans="1:6" ht="47.25">
      <c r="A25" s="156" t="s">
        <v>1304</v>
      </c>
      <c r="B25" s="153" t="s">
        <v>1305</v>
      </c>
      <c r="C25" s="153" t="s">
        <v>1306</v>
      </c>
      <c r="D25" s="153" t="s">
        <v>1307</v>
      </c>
      <c r="E25" s="153" t="s">
        <v>1308</v>
      </c>
      <c r="F25" s="154" t="s">
        <v>1318</v>
      </c>
    </row>
    <row r="26" spans="1:6" ht="15.75">
      <c r="A26" s="862" t="s">
        <v>1311</v>
      </c>
      <c r="B26" s="153">
        <v>1</v>
      </c>
      <c r="C26" s="153">
        <v>2</v>
      </c>
      <c r="D26" s="153">
        <v>3</v>
      </c>
      <c r="E26" s="153" t="s">
        <v>1310</v>
      </c>
      <c r="F26" s="154">
        <v>5</v>
      </c>
    </row>
    <row r="27" spans="1:6" ht="15.75">
      <c r="A27" s="862"/>
      <c r="B27" s="157"/>
      <c r="C27" s="157"/>
      <c r="D27" s="157"/>
      <c r="E27" s="157"/>
      <c r="F27" s="176"/>
    </row>
    <row r="28" spans="1:6" ht="15.75">
      <c r="A28" s="173" t="s">
        <v>1312</v>
      </c>
      <c r="B28" s="177"/>
      <c r="C28" s="177"/>
      <c r="D28" s="177"/>
      <c r="E28" s="177"/>
      <c r="F28" s="337"/>
    </row>
    <row r="29" spans="1:6" ht="16.5" thickBot="1">
      <c r="A29" s="160" t="s">
        <v>1313</v>
      </c>
      <c r="B29" s="100"/>
      <c r="C29" s="100"/>
      <c r="D29" s="100"/>
      <c r="E29" s="100"/>
      <c r="F29" s="337"/>
    </row>
    <row r="30" spans="1:6" ht="16.5" thickBot="1">
      <c r="A30" s="75"/>
      <c r="B30" s="75"/>
      <c r="C30" s="75"/>
      <c r="D30" s="75"/>
      <c r="E30" s="75"/>
      <c r="F30" s="151" t="s">
        <v>495</v>
      </c>
    </row>
    <row r="31" spans="1:6" ht="15.75">
      <c r="A31" s="861" t="s">
        <v>1498</v>
      </c>
      <c r="B31" s="861"/>
      <c r="C31" s="861"/>
      <c r="D31" s="861"/>
      <c r="E31" s="861"/>
      <c r="F31" s="861"/>
    </row>
    <row r="32" spans="1:6" ht="47.25">
      <c r="A32" s="168" t="s">
        <v>1304</v>
      </c>
      <c r="B32" s="153" t="s">
        <v>1305</v>
      </c>
      <c r="C32" s="153" t="s">
        <v>1306</v>
      </c>
      <c r="D32" s="153" t="s">
        <v>1307</v>
      </c>
      <c r="E32" s="153" t="s">
        <v>1308</v>
      </c>
      <c r="F32" s="154" t="s">
        <v>1319</v>
      </c>
    </row>
    <row r="33" spans="1:6" ht="15.75">
      <c r="A33" s="862" t="s">
        <v>1311</v>
      </c>
      <c r="B33" s="153">
        <v>1</v>
      </c>
      <c r="C33" s="153">
        <v>2</v>
      </c>
      <c r="D33" s="153">
        <v>3</v>
      </c>
      <c r="E33" s="153" t="s">
        <v>1310</v>
      </c>
      <c r="F33" s="154">
        <v>5</v>
      </c>
    </row>
    <row r="34" spans="1:6" ht="15.75">
      <c r="A34" s="862"/>
      <c r="B34" s="157"/>
      <c r="C34" s="157"/>
      <c r="D34" s="157"/>
      <c r="E34" s="157"/>
      <c r="F34" s="337"/>
    </row>
    <row r="35" spans="1:6" ht="15.75">
      <c r="A35" s="159" t="s">
        <v>1312</v>
      </c>
      <c r="B35" s="96"/>
      <c r="C35" s="96"/>
      <c r="D35" s="96"/>
      <c r="E35" s="177"/>
      <c r="F35" s="337"/>
    </row>
    <row r="36" spans="1:6" ht="16.5" thickBot="1">
      <c r="A36" s="180" t="s">
        <v>1313</v>
      </c>
      <c r="B36" s="338"/>
      <c r="C36" s="338"/>
      <c r="D36" s="338"/>
      <c r="E36" s="100"/>
      <c r="F36" s="161"/>
    </row>
    <row r="37" spans="1:6" ht="16.5" thickBot="1">
      <c r="A37" s="75"/>
      <c r="B37" s="75"/>
      <c r="C37" s="75"/>
      <c r="D37" s="75"/>
      <c r="E37" s="75"/>
      <c r="F37" s="151" t="s">
        <v>495</v>
      </c>
    </row>
    <row r="38" spans="1:6" ht="15.75">
      <c r="A38" s="861" t="s">
        <v>1499</v>
      </c>
      <c r="B38" s="861"/>
      <c r="C38" s="861"/>
      <c r="D38" s="861"/>
      <c r="E38" s="861"/>
      <c r="F38" s="861"/>
    </row>
    <row r="39" spans="1:6" ht="47.25">
      <c r="A39" s="168" t="s">
        <v>1304</v>
      </c>
      <c r="B39" s="153" t="s">
        <v>1305</v>
      </c>
      <c r="C39" s="153" t="s">
        <v>1306</v>
      </c>
      <c r="D39" s="153" t="s">
        <v>1307</v>
      </c>
      <c r="E39" s="153" t="s">
        <v>1308</v>
      </c>
      <c r="F39" s="154" t="s">
        <v>1320</v>
      </c>
    </row>
    <row r="40" spans="1:6" ht="15.75">
      <c r="A40" s="862" t="s">
        <v>1311</v>
      </c>
      <c r="B40" s="153">
        <v>1</v>
      </c>
      <c r="C40" s="153">
        <v>2</v>
      </c>
      <c r="D40" s="153">
        <v>3</v>
      </c>
      <c r="E40" s="153" t="s">
        <v>1310</v>
      </c>
      <c r="F40" s="154">
        <v>5</v>
      </c>
    </row>
    <row r="41" spans="1:6" ht="15.75">
      <c r="A41" s="862"/>
      <c r="B41" s="157"/>
      <c r="C41" s="157"/>
      <c r="D41" s="157"/>
      <c r="E41" s="157"/>
      <c r="F41" s="337"/>
    </row>
    <row r="42" spans="1:6" ht="15.75">
      <c r="A42" s="159" t="s">
        <v>1321</v>
      </c>
      <c r="B42" s="177"/>
      <c r="C42" s="177"/>
      <c r="D42" s="177"/>
      <c r="E42" s="177"/>
      <c r="F42" s="423"/>
    </row>
    <row r="43" spans="1:6" ht="16.5" thickBot="1">
      <c r="A43" s="180" t="s">
        <v>1313</v>
      </c>
      <c r="B43" s="100"/>
      <c r="C43" s="100"/>
      <c r="D43" s="100"/>
      <c r="E43" s="100"/>
      <c r="F43" s="161"/>
    </row>
    <row r="44" spans="1:6" ht="16.5" thickBot="1">
      <c r="A44" s="75"/>
      <c r="B44" s="75"/>
      <c r="C44" s="75"/>
      <c r="D44" s="75"/>
      <c r="E44" s="75"/>
      <c r="F44" s="151" t="s">
        <v>495</v>
      </c>
    </row>
    <row r="45" spans="1:6" ht="15.75">
      <c r="A45" s="861" t="s">
        <v>1500</v>
      </c>
      <c r="B45" s="861"/>
      <c r="C45" s="861"/>
      <c r="D45" s="861"/>
      <c r="E45" s="861"/>
      <c r="F45" s="861"/>
    </row>
    <row r="46" spans="1:6" ht="47.25">
      <c r="A46" s="168" t="s">
        <v>1304</v>
      </c>
      <c r="B46" s="153" t="s">
        <v>1305</v>
      </c>
      <c r="C46" s="153" t="s">
        <v>1306</v>
      </c>
      <c r="D46" s="153" t="s">
        <v>1307</v>
      </c>
      <c r="E46" s="153" t="s">
        <v>1308</v>
      </c>
      <c r="F46" s="154" t="s">
        <v>1322</v>
      </c>
    </row>
    <row r="47" spans="1:6" ht="15.75">
      <c r="A47" s="862" t="s">
        <v>1311</v>
      </c>
      <c r="B47" s="153">
        <v>1</v>
      </c>
      <c r="C47" s="153">
        <v>2</v>
      </c>
      <c r="D47" s="153">
        <v>3</v>
      </c>
      <c r="E47" s="153" t="s">
        <v>1310</v>
      </c>
      <c r="F47" s="154">
        <v>5</v>
      </c>
    </row>
    <row r="48" spans="1:6" ht="15.75">
      <c r="A48" s="862"/>
      <c r="B48" s="157"/>
      <c r="C48" s="157"/>
      <c r="D48" s="157"/>
      <c r="E48" s="157"/>
      <c r="F48" s="337"/>
    </row>
    <row r="49" spans="1:6" ht="15.75">
      <c r="A49" s="173" t="s">
        <v>1312</v>
      </c>
      <c r="B49" s="177"/>
      <c r="C49" s="96"/>
      <c r="D49" s="177"/>
      <c r="E49" s="157"/>
      <c r="F49" s="337"/>
    </row>
    <row r="50" spans="1:6" ht="16.5" thickBot="1">
      <c r="A50" s="160" t="s">
        <v>1313</v>
      </c>
      <c r="B50" s="100"/>
      <c r="C50" s="338"/>
      <c r="D50" s="100"/>
      <c r="E50" s="338"/>
      <c r="F50" s="161"/>
    </row>
    <row r="51" spans="1:6" ht="15.75">
      <c r="A51" s="181"/>
      <c r="B51" s="172"/>
      <c r="C51" s="172"/>
      <c r="D51" s="172"/>
      <c r="E51" s="172"/>
      <c r="F51" s="172"/>
    </row>
    <row r="52" spans="1:6" ht="15.75">
      <c r="A52" s="863" t="s">
        <v>1323</v>
      </c>
      <c r="B52" s="863"/>
      <c r="C52" s="863"/>
      <c r="D52" s="863"/>
      <c r="E52" s="863"/>
      <c r="F52" s="863"/>
    </row>
    <row r="53" spans="1:6" ht="15.75">
      <c r="A53" s="182"/>
      <c r="B53" s="75"/>
      <c r="C53" s="75"/>
      <c r="D53" s="75"/>
      <c r="E53" s="75"/>
      <c r="F53" s="75"/>
    </row>
    <row r="54" spans="1:6" ht="15.75">
      <c r="A54" s="75" t="s">
        <v>1542</v>
      </c>
      <c r="B54" s="75"/>
      <c r="C54" s="75"/>
      <c r="D54" s="75"/>
      <c r="E54" s="182" t="s">
        <v>1324</v>
      </c>
      <c r="F54" s="182"/>
    </row>
    <row r="55" spans="1:6" ht="15.75">
      <c r="A55" s="813" t="s">
        <v>492</v>
      </c>
      <c r="B55" s="813"/>
      <c r="C55" s="813"/>
      <c r="D55" s="813"/>
      <c r="E55" s="813"/>
      <c r="F55" s="813"/>
    </row>
    <row r="56" spans="1:6" ht="15.75">
      <c r="A56" s="75"/>
      <c r="B56" s="75"/>
      <c r="C56" s="75"/>
      <c r="D56" s="75"/>
      <c r="E56" s="75"/>
      <c r="F56" s="75"/>
    </row>
  </sheetData>
  <sheetProtection/>
  <mergeCells count="13">
    <mergeCell ref="A55:F55"/>
    <mergeCell ref="A33:A34"/>
    <mergeCell ref="A38:F38"/>
    <mergeCell ref="A40:A41"/>
    <mergeCell ref="A45:F45"/>
    <mergeCell ref="A47:A48"/>
    <mergeCell ref="A52:F52"/>
    <mergeCell ref="A7:F7"/>
    <mergeCell ref="A10:F11"/>
    <mergeCell ref="A18:E18"/>
    <mergeCell ref="A24:F24"/>
    <mergeCell ref="A26:A27"/>
    <mergeCell ref="A31:F31"/>
  </mergeCells>
  <printOptions/>
  <pageMargins left="0.7086614173228347" right="0.7086614173228347" top="0.15748031496062992" bottom="0.7480314960629921" header="0.31496062992125984" footer="0.31496062992125984"/>
  <pageSetup fitToHeight="0" fitToWidth="1" horizontalDpi="600" verticalDpi="600" orientation="landscape" paperSize="9" scale="72"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1:J21"/>
  <sheetViews>
    <sheetView zoomScalePageLayoutView="0" workbookViewId="0" topLeftCell="A1">
      <selection activeCell="A22" sqref="A22"/>
    </sheetView>
  </sheetViews>
  <sheetFormatPr defaultColWidth="9.140625" defaultRowHeight="15"/>
  <cols>
    <col min="1" max="2" width="30.140625" style="0" customWidth="1"/>
    <col min="3" max="7" width="20.7109375" style="0" customWidth="1"/>
    <col min="8" max="8" width="18.7109375" style="0" customWidth="1"/>
    <col min="9" max="9" width="19.8515625" style="0" customWidth="1"/>
    <col min="10" max="10" width="14.7109375" style="0" customWidth="1"/>
  </cols>
  <sheetData>
    <row r="1" spans="1:10" ht="18.75">
      <c r="A1" s="53" t="s">
        <v>102</v>
      </c>
      <c r="B1" s="54"/>
      <c r="C1" s="1"/>
      <c r="D1" s="1"/>
      <c r="E1" s="1"/>
      <c r="F1" s="1"/>
      <c r="G1" s="135"/>
      <c r="H1" s="135" t="s">
        <v>1325</v>
      </c>
      <c r="I1" s="1"/>
      <c r="J1" s="1"/>
    </row>
    <row r="2" spans="1:10" ht="18.75">
      <c r="A2" s="53" t="s">
        <v>2</v>
      </c>
      <c r="B2" s="54"/>
      <c r="C2" s="1"/>
      <c r="D2" s="1"/>
      <c r="E2" s="1"/>
      <c r="F2" s="1"/>
      <c r="G2" s="1"/>
      <c r="H2" s="1"/>
      <c r="I2" s="1"/>
      <c r="J2" s="1"/>
    </row>
    <row r="3" spans="1:10" ht="15.75">
      <c r="A3" s="1"/>
      <c r="B3" s="183"/>
      <c r="C3" s="183"/>
      <c r="D3" s="183"/>
      <c r="E3" s="183"/>
      <c r="F3" s="183"/>
      <c r="G3" s="183"/>
      <c r="H3" s="183"/>
      <c r="I3" s="183"/>
      <c r="J3" s="183"/>
    </row>
    <row r="4" spans="1:10" ht="20.25">
      <c r="A4" s="864" t="s">
        <v>1326</v>
      </c>
      <c r="B4" s="864"/>
      <c r="C4" s="864"/>
      <c r="D4" s="864"/>
      <c r="E4" s="864"/>
      <c r="F4" s="864"/>
      <c r="G4" s="864"/>
      <c r="H4" s="864"/>
      <c r="I4" s="183"/>
      <c r="J4" s="183"/>
    </row>
    <row r="5" spans="1:10" ht="15.75">
      <c r="A5" s="1"/>
      <c r="B5" s="184"/>
      <c r="C5" s="184"/>
      <c r="D5" s="184"/>
      <c r="E5" s="184"/>
      <c r="F5" s="184"/>
      <c r="G5" s="184"/>
      <c r="H5" s="184"/>
      <c r="I5" s="184"/>
      <c r="J5" s="184"/>
    </row>
    <row r="6" spans="1:10" ht="16.5" thickBot="1">
      <c r="A6" s="1"/>
      <c r="B6" s="185"/>
      <c r="C6" s="185"/>
      <c r="D6" s="185"/>
      <c r="E6" s="1"/>
      <c r="F6" s="185"/>
      <c r="G6" s="185"/>
      <c r="H6" s="186" t="s">
        <v>495</v>
      </c>
      <c r="I6" s="1"/>
      <c r="J6" s="185"/>
    </row>
    <row r="7" spans="1:10" ht="16.5" thickBot="1">
      <c r="A7" s="807" t="s">
        <v>496</v>
      </c>
      <c r="B7" s="865" t="s">
        <v>1327</v>
      </c>
      <c r="C7" s="866" t="s">
        <v>1501</v>
      </c>
      <c r="D7" s="866" t="s">
        <v>1488</v>
      </c>
      <c r="E7" s="866" t="s">
        <v>1489</v>
      </c>
      <c r="F7" s="867" t="s">
        <v>1527</v>
      </c>
      <c r="G7" s="867"/>
      <c r="H7" s="868" t="s">
        <v>1534</v>
      </c>
      <c r="I7" s="187"/>
      <c r="J7" s="187"/>
    </row>
    <row r="8" spans="1:10" ht="57.75" customHeight="1" thickBot="1">
      <c r="A8" s="807"/>
      <c r="B8" s="865"/>
      <c r="C8" s="866"/>
      <c r="D8" s="866"/>
      <c r="E8" s="866"/>
      <c r="F8" s="188" t="s">
        <v>7</v>
      </c>
      <c r="G8" s="189" t="s">
        <v>8</v>
      </c>
      <c r="H8" s="868"/>
      <c r="I8" s="190"/>
      <c r="J8" s="190"/>
    </row>
    <row r="9" spans="1:10" ht="15.75">
      <c r="A9" s="191" t="s">
        <v>498</v>
      </c>
      <c r="B9" s="192" t="s">
        <v>1328</v>
      </c>
      <c r="C9" s="193"/>
      <c r="D9" s="193"/>
      <c r="E9" s="193"/>
      <c r="F9" s="193"/>
      <c r="G9" s="193"/>
      <c r="H9" s="194"/>
      <c r="I9" s="73"/>
      <c r="J9" s="73"/>
    </row>
    <row r="10" spans="1:10" ht="15.75">
      <c r="A10" s="195" t="s">
        <v>500</v>
      </c>
      <c r="B10" s="196" t="s">
        <v>1329</v>
      </c>
      <c r="C10" s="197"/>
      <c r="D10" s="197"/>
      <c r="E10" s="197"/>
      <c r="F10" s="197"/>
      <c r="G10" s="197"/>
      <c r="H10" s="198"/>
      <c r="I10" s="73"/>
      <c r="J10" s="73"/>
    </row>
    <row r="11" spans="1:10" ht="15.75">
      <c r="A11" s="195" t="s">
        <v>502</v>
      </c>
      <c r="B11" s="196" t="s">
        <v>1330</v>
      </c>
      <c r="C11" s="197"/>
      <c r="D11" s="197"/>
      <c r="E11" s="197"/>
      <c r="F11" s="197"/>
      <c r="G11" s="197"/>
      <c r="H11" s="198"/>
      <c r="I11" s="73"/>
      <c r="J11" s="73"/>
    </row>
    <row r="12" spans="1:10" ht="15.75">
      <c r="A12" s="195" t="s">
        <v>504</v>
      </c>
      <c r="B12" s="196" t="s">
        <v>1331</v>
      </c>
      <c r="C12" s="197"/>
      <c r="D12" s="197"/>
      <c r="E12" s="197"/>
      <c r="F12" s="197"/>
      <c r="G12" s="197"/>
      <c r="H12" s="198"/>
      <c r="I12" s="73"/>
      <c r="J12" s="73"/>
    </row>
    <row r="13" spans="1:10" ht="15.75">
      <c r="A13" s="195" t="s">
        <v>571</v>
      </c>
      <c r="B13" s="196" t="s">
        <v>1332</v>
      </c>
      <c r="C13" s="197">
        <v>600000</v>
      </c>
      <c r="D13" s="197">
        <v>503706.83</v>
      </c>
      <c r="E13" s="197">
        <v>1000000</v>
      </c>
      <c r="F13" s="197">
        <v>600000</v>
      </c>
      <c r="G13" s="197">
        <v>136188</v>
      </c>
      <c r="H13" s="198">
        <f>G13/F13</f>
        <v>0.22698</v>
      </c>
      <c r="I13" s="73"/>
      <c r="J13" s="73"/>
    </row>
    <row r="14" spans="1:10" ht="15.75">
      <c r="A14" s="195" t="s">
        <v>572</v>
      </c>
      <c r="B14" s="196" t="s">
        <v>1333</v>
      </c>
      <c r="C14" s="197"/>
      <c r="D14" s="197"/>
      <c r="E14" s="197"/>
      <c r="F14" s="197"/>
      <c r="G14" s="197"/>
      <c r="H14" s="198"/>
      <c r="I14" s="73"/>
      <c r="J14" s="73"/>
    </row>
    <row r="15" spans="1:10" ht="16.5" thickBot="1">
      <c r="A15" s="199" t="s">
        <v>574</v>
      </c>
      <c r="B15" s="200" t="s">
        <v>1334</v>
      </c>
      <c r="C15" s="201"/>
      <c r="D15" s="201"/>
      <c r="E15" s="201"/>
      <c r="F15" s="201"/>
      <c r="G15" s="201"/>
      <c r="H15" s="202"/>
      <c r="I15" s="73"/>
      <c r="J15" s="73"/>
    </row>
    <row r="16" spans="1:10" ht="15.75">
      <c r="A16" s="203"/>
      <c r="B16" s="203"/>
      <c r="C16" s="203"/>
      <c r="D16" s="203"/>
      <c r="E16" s="203"/>
      <c r="F16" s="1"/>
      <c r="G16" s="1"/>
      <c r="H16" s="1"/>
      <c r="I16" s="1"/>
      <c r="J16" s="1"/>
    </row>
    <row r="17" spans="1:10" ht="15.75">
      <c r="A17" s="1"/>
      <c r="B17" s="1"/>
      <c r="C17" s="1"/>
      <c r="D17" s="1"/>
      <c r="E17" s="1"/>
      <c r="F17" s="1"/>
      <c r="G17" s="1"/>
      <c r="H17" s="1"/>
      <c r="I17" s="1"/>
      <c r="J17" s="1"/>
    </row>
    <row r="18" spans="1:10" ht="15.75">
      <c r="A18" s="75" t="s">
        <v>1542</v>
      </c>
      <c r="B18" s="75"/>
      <c r="C18" s="75"/>
      <c r="D18" s="75"/>
      <c r="E18" s="76" t="s">
        <v>492</v>
      </c>
      <c r="F18" s="75"/>
      <c r="G18" s="75" t="s">
        <v>1461</v>
      </c>
      <c r="H18" s="75"/>
      <c r="I18" s="136"/>
      <c r="J18" s="1"/>
    </row>
    <row r="19" spans="1:10" ht="15.75">
      <c r="A19" s="75"/>
      <c r="B19" s="75"/>
      <c r="C19" s="75"/>
      <c r="D19" s="75"/>
      <c r="E19" s="1"/>
      <c r="F19" s="75"/>
      <c r="G19" s="1"/>
      <c r="H19" s="1"/>
      <c r="I19" s="1"/>
      <c r="J19" s="1"/>
    </row>
    <row r="20" spans="1:10" ht="15.75">
      <c r="A20" s="75"/>
      <c r="B20" s="75"/>
      <c r="C20" s="1"/>
      <c r="D20" s="75"/>
      <c r="E20" s="1"/>
      <c r="F20" s="1"/>
      <c r="G20" s="1"/>
      <c r="H20" s="1"/>
      <c r="I20" s="1"/>
      <c r="J20" s="1"/>
    </row>
    <row r="21" spans="1:10" ht="15.75">
      <c r="A21" s="1"/>
      <c r="B21" s="1"/>
      <c r="C21" s="1"/>
      <c r="D21" s="1"/>
      <c r="E21" s="1"/>
      <c r="F21" s="1"/>
      <c r="G21" s="1"/>
      <c r="H21" s="1"/>
      <c r="I21" s="1"/>
      <c r="J21" s="1"/>
    </row>
  </sheetData>
  <sheetProtection/>
  <mergeCells count="8">
    <mergeCell ref="A4:H4"/>
    <mergeCell ref="A7:A8"/>
    <mergeCell ref="B7:B8"/>
    <mergeCell ref="C7:C8"/>
    <mergeCell ref="D7:D8"/>
    <mergeCell ref="E7:E8"/>
    <mergeCell ref="F7:G7"/>
    <mergeCell ref="H7:H8"/>
  </mergeCells>
  <printOptions/>
  <pageMargins left="0.7" right="0.7" top="0.75" bottom="0.75" header="0.3" footer="0.3"/>
  <pageSetup fitToHeight="0" fitToWidth="1" horizontalDpi="600" verticalDpi="600" orientation="landscape" paperSize="9" scale="71" r:id="rId1"/>
</worksheet>
</file>

<file path=xl/worksheets/sheet9.xml><?xml version="1.0" encoding="utf-8"?>
<worksheet xmlns="http://schemas.openxmlformats.org/spreadsheetml/2006/main" xmlns:r="http://schemas.openxmlformats.org/officeDocument/2006/relationships">
  <sheetPr>
    <tabColor rgb="FFFF0000"/>
    <pageSetUpPr fitToPage="1"/>
  </sheetPr>
  <dimension ref="A1:J20"/>
  <sheetViews>
    <sheetView zoomScalePageLayoutView="0" workbookViewId="0" topLeftCell="A1">
      <selection activeCell="A23" sqref="A23"/>
    </sheetView>
  </sheetViews>
  <sheetFormatPr defaultColWidth="9.140625" defaultRowHeight="15"/>
  <cols>
    <col min="1" max="2" width="30.140625" style="0" customWidth="1"/>
    <col min="3" max="3" width="17.421875" style="0" customWidth="1"/>
    <col min="4" max="4" width="17.57421875" style="0" customWidth="1"/>
    <col min="5" max="5" width="19.421875" style="0" customWidth="1"/>
    <col min="6" max="6" width="15.8515625" style="0" customWidth="1"/>
    <col min="7" max="7" width="17.8515625" style="0" customWidth="1"/>
    <col min="8" max="8" width="22.140625" style="0" customWidth="1"/>
    <col min="9" max="9" width="15.421875" style="0" customWidth="1"/>
    <col min="10" max="10" width="0.13671875" style="0" customWidth="1"/>
  </cols>
  <sheetData>
    <row r="1" spans="1:10" ht="21" customHeight="1">
      <c r="A1" s="53" t="s">
        <v>102</v>
      </c>
      <c r="B1" s="54"/>
      <c r="C1" s="204"/>
      <c r="D1" s="204"/>
      <c r="E1" s="140"/>
      <c r="F1" s="140"/>
      <c r="G1" s="140"/>
      <c r="H1" s="75"/>
      <c r="I1" s="135" t="s">
        <v>1335</v>
      </c>
      <c r="J1" s="75"/>
    </row>
    <row r="2" spans="1:10" ht="18.75">
      <c r="A2" s="53" t="s">
        <v>2</v>
      </c>
      <c r="B2" s="54"/>
      <c r="C2" s="204"/>
      <c r="D2" s="204"/>
      <c r="E2" s="140"/>
      <c r="F2" s="140"/>
      <c r="G2" s="140"/>
      <c r="H2" s="75"/>
      <c r="I2" s="135"/>
      <c r="J2" s="135"/>
    </row>
    <row r="3" spans="1:10" ht="15.75">
      <c r="A3" s="75"/>
      <c r="B3" s="75"/>
      <c r="C3" s="75"/>
      <c r="D3" s="75"/>
      <c r="E3" s="75"/>
      <c r="F3" s="75"/>
      <c r="G3" s="75"/>
      <c r="H3" s="75"/>
      <c r="I3" s="75"/>
      <c r="J3" s="75"/>
    </row>
    <row r="4" spans="1:10" ht="15.75">
      <c r="A4" s="75"/>
      <c r="B4" s="75"/>
      <c r="C4" s="75"/>
      <c r="D4" s="75"/>
      <c r="E4" s="75"/>
      <c r="F4" s="75"/>
      <c r="G4" s="75"/>
      <c r="H4" s="75"/>
      <c r="I4" s="75"/>
      <c r="J4" s="75"/>
    </row>
    <row r="5" spans="1:10" ht="20.25">
      <c r="A5" s="864" t="s">
        <v>1336</v>
      </c>
      <c r="B5" s="864"/>
      <c r="C5" s="864"/>
      <c r="D5" s="864"/>
      <c r="E5" s="864"/>
      <c r="F5" s="864"/>
      <c r="G5" s="864"/>
      <c r="H5" s="864"/>
      <c r="I5" s="4"/>
      <c r="J5" s="75"/>
    </row>
    <row r="6" spans="1:10" ht="16.5" thickBot="1">
      <c r="A6" s="137"/>
      <c r="B6" s="137"/>
      <c r="C6" s="137"/>
      <c r="D6" s="137"/>
      <c r="E6" s="137"/>
      <c r="F6" s="137"/>
      <c r="G6" s="137"/>
      <c r="H6" s="137"/>
      <c r="I6" s="135" t="s">
        <v>3</v>
      </c>
      <c r="J6" s="75"/>
    </row>
    <row r="7" spans="1:10" ht="79.5" thickBot="1">
      <c r="A7" s="205" t="s">
        <v>1337</v>
      </c>
      <c r="B7" s="81" t="s">
        <v>1338</v>
      </c>
      <c r="C7" s="81" t="s">
        <v>1339</v>
      </c>
      <c r="D7" s="81" t="s">
        <v>1340</v>
      </c>
      <c r="E7" s="81" t="s">
        <v>1341</v>
      </c>
      <c r="F7" s="81" t="s">
        <v>1342</v>
      </c>
      <c r="G7" s="81" t="s">
        <v>1343</v>
      </c>
      <c r="H7" s="81" t="s">
        <v>1344</v>
      </c>
      <c r="I7" s="206" t="s">
        <v>1345</v>
      </c>
      <c r="J7" s="207"/>
    </row>
    <row r="8" spans="1:10" ht="16.5" thickBot="1">
      <c r="A8" s="205">
        <v>1</v>
      </c>
      <c r="B8" s="208">
        <v>2</v>
      </c>
      <c r="C8" s="81">
        <v>3</v>
      </c>
      <c r="D8" s="81">
        <v>4</v>
      </c>
      <c r="E8" s="208">
        <v>5</v>
      </c>
      <c r="F8" s="81">
        <v>6</v>
      </c>
      <c r="G8" s="81">
        <v>7</v>
      </c>
      <c r="H8" s="208">
        <v>8</v>
      </c>
      <c r="I8" s="206" t="s">
        <v>1346</v>
      </c>
      <c r="J8" s="207"/>
    </row>
    <row r="9" spans="1:10" ht="15.75">
      <c r="A9" s="209" t="s">
        <v>1347</v>
      </c>
      <c r="B9" s="210">
        <v>141960541</v>
      </c>
      <c r="C9" s="211"/>
      <c r="D9" s="212"/>
      <c r="E9" s="213"/>
      <c r="F9" s="212"/>
      <c r="G9" s="212"/>
      <c r="H9" s="213"/>
      <c r="I9" s="214"/>
      <c r="J9" s="207"/>
    </row>
    <row r="10" spans="1:10" ht="15.75">
      <c r="A10" s="215" t="s">
        <v>1348</v>
      </c>
      <c r="B10" s="210">
        <v>29716238.7</v>
      </c>
      <c r="C10" s="216"/>
      <c r="D10" s="217"/>
      <c r="E10" s="217"/>
      <c r="F10" s="217"/>
      <c r="G10" s="217"/>
      <c r="H10" s="217"/>
      <c r="I10" s="176"/>
      <c r="J10" s="75"/>
    </row>
    <row r="11" spans="1:10" ht="15.75">
      <c r="A11" s="215">
        <v>2018</v>
      </c>
      <c r="B11" s="210">
        <v>22005322.44</v>
      </c>
      <c r="C11" s="216"/>
      <c r="D11" s="218"/>
      <c r="E11" s="218"/>
      <c r="F11" s="218"/>
      <c r="G11" s="218"/>
      <c r="H11" s="218"/>
      <c r="I11" s="178"/>
      <c r="J11" s="75"/>
    </row>
    <row r="12" spans="1:10" ht="16.5" thickBot="1">
      <c r="A12" s="219"/>
      <c r="B12" s="220"/>
      <c r="C12" s="220"/>
      <c r="D12" s="221"/>
      <c r="E12" s="221"/>
      <c r="F12" s="221"/>
      <c r="G12" s="221"/>
      <c r="H12" s="221"/>
      <c r="I12" s="178"/>
      <c r="J12" s="75"/>
    </row>
    <row r="13" spans="1:10" ht="15.75">
      <c r="A13" s="75"/>
      <c r="B13" s="75"/>
      <c r="C13" s="75"/>
      <c r="D13" s="75"/>
      <c r="E13" s="75"/>
      <c r="F13" s="75"/>
      <c r="G13" s="75"/>
      <c r="H13" s="75"/>
      <c r="I13" s="222"/>
      <c r="J13" s="75"/>
    </row>
    <row r="14" spans="1:10" ht="32.25" customHeight="1">
      <c r="A14" s="869" t="s">
        <v>1349</v>
      </c>
      <c r="B14" s="869"/>
      <c r="C14" s="869"/>
      <c r="D14" s="869"/>
      <c r="E14" s="869"/>
      <c r="F14" s="869"/>
      <c r="G14" s="869"/>
      <c r="H14" s="869"/>
      <c r="I14" s="869"/>
      <c r="J14" s="869"/>
    </row>
    <row r="15" spans="1:10" ht="30" customHeight="1">
      <c r="A15" s="870" t="s">
        <v>1464</v>
      </c>
      <c r="B15" s="870"/>
      <c r="C15" s="870"/>
      <c r="D15" s="870"/>
      <c r="E15" s="870"/>
      <c r="F15" s="870"/>
      <c r="G15" s="870"/>
      <c r="H15" s="870"/>
      <c r="I15" s="870"/>
      <c r="J15" s="75"/>
    </row>
    <row r="16" spans="1:10" ht="15.75">
      <c r="A16" s="871" t="s">
        <v>1509</v>
      </c>
      <c r="B16" s="871"/>
      <c r="C16" s="871"/>
      <c r="D16" s="871"/>
      <c r="E16" s="871"/>
      <c r="F16" s="871"/>
      <c r="G16" s="871"/>
      <c r="H16" s="871"/>
      <c r="I16" s="871"/>
      <c r="J16" s="75"/>
    </row>
    <row r="17" spans="1:10" ht="15.75">
      <c r="A17" s="182"/>
      <c r="B17" s="182"/>
      <c r="C17" s="182"/>
      <c r="D17" s="75"/>
      <c r="E17" s="75"/>
      <c r="F17" s="75"/>
      <c r="G17" s="223"/>
      <c r="H17" s="75"/>
      <c r="I17" s="75"/>
      <c r="J17" s="75"/>
    </row>
    <row r="18" spans="1:10" ht="15.75">
      <c r="A18" s="75"/>
      <c r="B18" s="75"/>
      <c r="C18" s="75"/>
      <c r="D18" s="75"/>
      <c r="E18" s="75"/>
      <c r="F18" s="75"/>
      <c r="G18" s="75"/>
      <c r="H18" s="75"/>
      <c r="I18" s="75"/>
      <c r="J18" s="75"/>
    </row>
    <row r="19" spans="1:10" ht="15.75">
      <c r="A19" s="224" t="s">
        <v>1545</v>
      </c>
      <c r="B19" s="224"/>
      <c r="C19" s="225"/>
      <c r="D19" s="225"/>
      <c r="E19" s="55" t="s">
        <v>101</v>
      </c>
      <c r="F19" s="75"/>
      <c r="G19" s="55" t="s">
        <v>1466</v>
      </c>
      <c r="H19" s="454"/>
      <c r="I19" s="75"/>
      <c r="J19" s="75"/>
    </row>
    <row r="20" spans="1:10" ht="15.75">
      <c r="A20" s="75"/>
      <c r="B20" s="75"/>
      <c r="C20" s="75"/>
      <c r="D20" s="75"/>
      <c r="E20" s="75"/>
      <c r="F20" s="75"/>
      <c r="G20" s="75"/>
      <c r="H20" s="75"/>
      <c r="I20" s="75"/>
      <c r="J20" s="75"/>
    </row>
  </sheetData>
  <sheetProtection/>
  <mergeCells count="4">
    <mergeCell ref="A5:H5"/>
    <mergeCell ref="A14:J14"/>
    <mergeCell ref="A15:I15"/>
    <mergeCell ref="A16:I16"/>
  </mergeCells>
  <printOptions/>
  <pageMargins left="0.7" right="0.7" top="0.75" bottom="0.75" header="0.3" footer="0.3"/>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dc:creator>
  <cp:keywords/>
  <dc:description/>
  <cp:lastModifiedBy>Anđelka Vidović</cp:lastModifiedBy>
  <cp:lastPrinted>2019-10-29T08:45:45Z</cp:lastPrinted>
  <dcterms:created xsi:type="dcterms:W3CDTF">2018-04-27T09:33:34Z</dcterms:created>
  <dcterms:modified xsi:type="dcterms:W3CDTF">2019-10-29T09:26:56Z</dcterms:modified>
  <cp:category/>
  <cp:version/>
  <cp:contentType/>
  <cp:contentStatus/>
</cp:coreProperties>
</file>