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firstSheet="3" activeTab="0"/>
  </bookViews>
  <sheets>
    <sheet name="Биланс успеха" sheetId="1" r:id="rId1"/>
    <sheet name="Биланс стања" sheetId="2" r:id="rId2"/>
    <sheet name="Извештај о новчаним токовима" sheetId="3" r:id="rId3"/>
    <sheet name="Зараде" sheetId="4" r:id="rId4"/>
    <sheet name="Запослени" sheetId="5" r:id="rId5"/>
    <sheet name="Цене" sheetId="6" r:id="rId6"/>
    <sheet name="Субвенције" sheetId="7" r:id="rId7"/>
    <sheet name="Добит" sheetId="8" r:id="rId8"/>
    <sheet name="Донације" sheetId="9" r:id="rId9"/>
    <sheet name="Кредити" sheetId="10" r:id="rId10"/>
    <sheet name="Готовина" sheetId="11" r:id="rId11"/>
    <sheet name="Извештај о инвестицијима" sheetId="12" r:id="rId12"/>
    <sheet name="Образац НБС" sheetId="13" r:id="rId13"/>
  </sheets>
  <externalReferences>
    <externalReference r:id="rId16"/>
  </externalReferences>
  <definedNames>
    <definedName name="_xlnm.Print_Area" localSheetId="1">'Биланс стања'!$A$1:$H$149</definedName>
    <definedName name="_xlnm.Print_Area" localSheetId="7">'Добит'!$A$1:$I$22</definedName>
    <definedName name="_xlnm.Print_Area" localSheetId="3">'Зараде'!$A$1:$G$43</definedName>
    <definedName name="_xlnm.Print_Area" localSheetId="2">'Извештај о новчаним токовима'!$A$1:$H$63</definedName>
    <definedName name="_xlnm.Print_Area" localSheetId="12">'Образац НБС'!$A$1:$G$43</definedName>
  </definedNames>
  <calcPr fullCalcOnLoad="1"/>
</workbook>
</file>

<file path=xl/sharedStrings.xml><?xml version="1.0" encoding="utf-8"?>
<sst xmlns="http://schemas.openxmlformats.org/spreadsheetml/2006/main" count="2249" uniqueCount="1456">
  <si>
    <t>Образац 1</t>
  </si>
  <si>
    <t>Предузеће:ЈВП БЕОГРАДВОДЕ</t>
  </si>
  <si>
    <t>Матични број:07029110</t>
  </si>
  <si>
    <t>у 000 динара</t>
  </si>
  <si>
    <t>Група рачуна, рачун</t>
  </si>
  <si>
    <t>ПОЗИЦИЈА</t>
  </si>
  <si>
    <t>AOП</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</si>
  <si>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</si>
  <si>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</si>
  <si>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</si>
  <si>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</si>
  <si>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</si>
  <si>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</si>
  <si>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</si>
  <si>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</si>
  <si>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</si>
  <si>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</si>
  <si>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</si>
  <si>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</si>
  <si>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</si>
  <si>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</si>
  <si>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</si>
  <si>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</si>
  <si>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</si>
  <si>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</si>
  <si>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</si>
  <si>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</si>
  <si>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</si>
  <si>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</si>
  <si>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</si>
  <si>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</si>
  <si>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</si>
  <si>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</si>
  <si>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</si>
  <si>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</si>
  <si>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</si>
  <si>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</si>
  <si>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</si>
  <si>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</si>
  <si>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</si>
  <si>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</si>
  <si>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</si>
  <si>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</si>
  <si>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</si>
  <si>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</si>
  <si>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</si>
  <si>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</si>
  <si>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</si>
  <si>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</si>
  <si>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</si>
  <si>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</si>
  <si>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</si>
  <si>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</si>
  <si>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</si>
  <si>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</si>
  <si>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</si>
  <si>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</si>
  <si>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</si>
  <si>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</si>
  <si>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</si>
  <si>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</si>
  <si>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</si>
  <si>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</si>
  <si>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</si>
  <si>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</si>
  <si>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</si>
  <si>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</si>
  <si>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</si>
  <si>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</si>
  <si>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</si>
  <si>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</si>
  <si>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</si>
  <si>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</si>
  <si>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</si>
  <si>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</si>
  <si>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</si>
  <si>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</si>
  <si>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</si>
  <si>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</si>
  <si>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</si>
  <si>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</si>
  <si>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</si>
  <si>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</si>
  <si>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</si>
  <si>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</si>
  <si>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</si>
  <si>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</si>
  <si>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</si>
  <si>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</si>
  <si>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</si>
  <si>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</si>
  <si>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</si>
  <si>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</si>
  <si>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</si>
  <si>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</si>
  <si>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</si>
  <si>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</si>
  <si>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</si>
  <si>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</si>
  <si>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Oвлашћено лице: __________________________</t>
  </si>
  <si>
    <t xml:space="preserve">М.П. </t>
  </si>
  <si>
    <t>Предузеће: ЈВП БЕОГРАДВОДЕ</t>
  </si>
  <si>
    <t>Образац 1А</t>
  </si>
  <si>
    <t>П О З И Ц И Ј А</t>
  </si>
  <si>
    <t>АОП</t>
  </si>
  <si>
    <t xml:space="preserve">
Реализација</t>
  </si>
  <si>
    <t>АКТИВА</t>
  </si>
  <si>
    <t>А. УПИСАНИ А НЕУПЛАЋЕНИ КАПИТАЛ</t>
  </si>
  <si>
    <t>001</t>
  </si>
  <si>
    <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</si>
  <si>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</si>
  <si>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</si>
  <si>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</si>
  <si>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</si>
  <si>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</si>
  <si>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</si>
  <si>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</si>
  <si>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</si>
  <si>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</si>
  <si>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</si>
  <si>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</si>
  <si>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</si>
  <si>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</si>
  <si>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</si>
  <si>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</si>
  <si>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</si>
  <si>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</si>
  <si>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</si>
  <si>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</si>
  <si>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</si>
  <si>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</si>
  <si>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</si>
  <si>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</si>
  <si>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</si>
  <si>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</si>
  <si>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</si>
  <si>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</si>
  <si>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</si>
  <si>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</si>
  <si>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</si>
  <si>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</si>
  <si>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</si>
  <si>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</si>
  <si>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</si>
  <si>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</si>
  <si>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</si>
  <si>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</si>
  <si>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</si>
  <si>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</si>
  <si>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</si>
  <si>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</si>
  <si>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</si>
  <si>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</si>
  <si>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</si>
  <si>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</si>
  <si>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</si>
  <si>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</si>
  <si>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</si>
  <si>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</si>
  <si>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</si>
  <si>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</si>
  <si>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</si>
  <si>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</si>
  <si>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</si>
  <si>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</si>
  <si>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</si>
  <si>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</si>
  <si>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</si>
  <si>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</si>
  <si>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</si>
  <si>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</si>
  <si>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</si>
  <si>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</si>
  <si>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</si>
  <si>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</si>
  <si>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</si>
  <si>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</si>
  <si>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</si>
  <si>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</si>
  <si>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</si>
  <si>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</si>
  <si>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</si>
  <si>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</si>
  <si>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</si>
  <si>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</si>
  <si>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</si>
  <si>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</si>
  <si>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</si>
  <si>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</si>
  <si>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</si>
  <si>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</si>
  <si>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</si>
  <si>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</si>
  <si>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</si>
  <si>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</si>
  <si>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</si>
  <si>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</si>
  <si>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</si>
  <si>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</si>
  <si>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</si>
  <si>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</si>
  <si>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</si>
  <si>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</si>
  <si>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</si>
  <si>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</si>
  <si>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</si>
  <si>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</si>
  <si>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</si>
  <si>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</si>
  <si>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</si>
  <si>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</si>
  <si>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</si>
  <si>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</si>
  <si>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</si>
  <si>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</si>
  <si>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</si>
  <si>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</si>
  <si>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</si>
  <si>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</si>
  <si>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</si>
  <si>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</si>
  <si>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</si>
  <si>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</si>
  <si>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</si>
  <si>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</si>
  <si>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</si>
  <si>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</si>
  <si>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</si>
  <si>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</si>
  <si>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</si>
  <si>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</si>
  <si>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</si>
  <si>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</si>
  <si>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</si>
  <si>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</si>
  <si>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</si>
  <si>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</si>
  <si>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</si>
  <si>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</si>
  <si>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</si>
  <si>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</si>
  <si>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</si>
  <si>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</si>
  <si>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</si>
  <si>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</si>
  <si>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</si>
  <si>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</si>
  <si>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</si>
  <si>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</si>
  <si>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</si>
  <si>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</si>
  <si>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</si>
  <si>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</si>
  <si>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</si>
  <si>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</si>
  <si>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</si>
  <si>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</si>
  <si>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</si>
  <si>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</si>
  <si>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</si>
  <si>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</si>
  <si>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</si>
  <si>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</si>
  <si>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</si>
  <si>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</si>
  <si>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</si>
  <si>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</si>
  <si>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</si>
  <si>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</si>
  <si>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</si>
  <si>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</si>
  <si>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</si>
  <si>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</si>
  <si>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</si>
  <si>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</si>
  <si>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</si>
  <si>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</si>
  <si>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</si>
  <si>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</si>
  <si>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</si>
  <si>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</si>
  <si>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</si>
  <si>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</si>
  <si>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</si>
  <si>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</si>
  <si>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</si>
  <si>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</si>
  <si>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</si>
  <si>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</si>
  <si>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</si>
  <si>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</si>
  <si>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</si>
  <si>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</si>
  <si>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</si>
  <si>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</si>
  <si>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</si>
  <si>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</si>
  <si>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</si>
  <si>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</si>
  <si>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</si>
  <si>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</si>
  <si>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</si>
  <si>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</si>
  <si>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</si>
  <si>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</si>
  <si>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</si>
  <si>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</si>
  <si>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</si>
  <si>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</si>
  <si>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</si>
  <si>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</si>
  <si>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</si>
  <si>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</si>
  <si>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</si>
  <si>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</si>
  <si>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</si>
  <si>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</si>
  <si>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</si>
  <si>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</si>
  <si>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</si>
  <si>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</si>
  <si>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</si>
  <si>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</si>
  <si>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</si>
  <si>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</si>
  <si>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</si>
  <si>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</si>
  <si>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</si>
  <si>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</si>
  <si>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</si>
  <si>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</si>
  <si>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</si>
  <si>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</si>
  <si>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</si>
  <si>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</si>
  <si>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</si>
  <si>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</si>
  <si>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</si>
  <si>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</si>
  <si>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</si>
  <si>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</si>
  <si>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</si>
  <si>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</si>
  <si>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</si>
  <si>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</si>
  <si>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</si>
  <si>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</si>
  <si>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</si>
  <si>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</si>
  <si>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</si>
  <si>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</si>
  <si>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</si>
  <si>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</si>
  <si>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</si>
  <si>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</si>
  <si>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</si>
  <si>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</si>
  <si>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</si>
  <si>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</si>
  <si>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</si>
  <si>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</si>
  <si>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</si>
  <si>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</si>
  <si>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</si>
  <si>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</si>
  <si>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</si>
  <si>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</si>
  <si>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</si>
  <si>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</si>
  <si>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</si>
  <si>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</si>
  <si>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</si>
  <si>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</si>
  <si>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</si>
  <si>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</si>
  <si>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</si>
  <si>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</si>
  <si>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</si>
  <si>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</si>
  <si>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</si>
  <si>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</si>
  <si>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</si>
  <si>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</si>
  <si>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</si>
  <si>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</si>
  <si>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</si>
  <si>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</si>
  <si>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</si>
  <si>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</si>
  <si>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</si>
  <si>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</si>
  <si>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</si>
  <si>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</si>
  <si>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</si>
  <si>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</si>
  <si>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</si>
  <si>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</si>
  <si>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</si>
  <si>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</si>
  <si>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</si>
  <si>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</si>
  <si>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</si>
  <si>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</si>
  <si>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</si>
  <si>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</si>
  <si>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</si>
  <si>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</si>
  <si>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</si>
  <si>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</si>
  <si>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</si>
  <si>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</si>
  <si>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</si>
  <si>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</si>
  <si>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</si>
  <si>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</si>
  <si>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</si>
  <si>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</si>
  <si>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</si>
  <si>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</si>
  <si>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</si>
  <si>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</si>
  <si>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</si>
  <si>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</si>
  <si>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</si>
  <si>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</si>
  <si>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</si>
  <si>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</si>
  <si>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</si>
  <si>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</si>
  <si>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</si>
  <si>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</si>
  <si>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</si>
  <si>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</si>
  <si>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</si>
  <si>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</si>
  <si>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</si>
  <si>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</si>
  <si>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ИЗВЕШТАЈ О ТОКОВИМА ГОТОВИНЕ</t>
  </si>
  <si>
    <t>у 000 динарa</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</si>
  <si>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</si>
  <si>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</si>
  <si>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</si>
  <si>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</si>
  <si>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</si>
  <si>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</si>
  <si>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</si>
  <si>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</si>
  <si>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</si>
  <si>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</si>
  <si>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</si>
  <si>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</si>
  <si>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</si>
  <si>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</si>
  <si>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</si>
  <si>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</si>
  <si>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</si>
  <si>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</si>
  <si>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</si>
  <si>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</si>
  <si>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</si>
  <si>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</si>
  <si>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</si>
  <si>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</si>
  <si>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</si>
  <si>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</si>
  <si>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</si>
  <si>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</si>
  <si>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</si>
  <si>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</si>
  <si>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</si>
  <si>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</si>
  <si>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</si>
  <si>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</si>
  <si>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</si>
  <si>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</si>
  <si>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</si>
  <si>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</si>
  <si>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</si>
  <si>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</si>
  <si>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</si>
  <si>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</si>
  <si>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</si>
  <si>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</si>
  <si>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</si>
  <si>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</si>
  <si>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</si>
  <si>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</si>
  <si>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</si>
  <si>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</si>
  <si>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</si>
  <si>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</si>
  <si>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</si>
  <si>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</si>
  <si>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</si>
  <si>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</si>
  <si>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</si>
  <si>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</si>
  <si>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</si>
  <si>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</si>
  <si>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</si>
  <si>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</si>
  <si>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</si>
  <si>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</si>
  <si>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</si>
  <si>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</si>
  <si>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</si>
  <si>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</si>
  <si>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</si>
  <si>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</si>
  <si>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</si>
  <si>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</si>
  <si>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</si>
  <si>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</si>
  <si>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</si>
  <si>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</si>
  <si>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</si>
  <si>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</si>
  <si>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</si>
  <si>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</si>
  <si>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</si>
  <si>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</si>
  <si>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</si>
  <si>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</si>
  <si>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</si>
  <si>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</si>
  <si>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</si>
  <si>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</si>
  <si>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</si>
  <si>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</si>
  <si>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</si>
  <si>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</si>
  <si>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</si>
  <si>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</si>
  <si>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</si>
  <si>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</si>
  <si>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</si>
  <si>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</si>
  <si>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</si>
  <si>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</si>
  <si>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</si>
  <si>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</si>
  <si>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</si>
  <si>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</si>
  <si>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</si>
  <si>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</si>
  <si>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</si>
  <si>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</si>
  <si>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Отпремнина - технолошки вишак</t>
  </si>
  <si>
    <t>25</t>
  </si>
  <si>
    <t>Јубиларне награде</t>
  </si>
  <si>
    <t>26</t>
  </si>
  <si>
    <t>27</t>
  </si>
  <si>
    <t>Смештај и исхрана на терену</t>
  </si>
  <si>
    <t>28</t>
  </si>
  <si>
    <t>Помоћ радницима и породици радника</t>
  </si>
  <si>
    <t>29</t>
  </si>
  <si>
    <t>Стипендије</t>
  </si>
  <si>
    <t>30</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</si>
  <si>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</si>
  <si>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</si>
  <si>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</si>
  <si>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                                            Овлашћено лице: ___________________________________</t>
  </si>
  <si>
    <t>Образац 3</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</si>
  <si>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</si>
  <si>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</si>
  <si>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</si>
  <si>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</si>
  <si>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</si>
  <si>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Одлив кадрова</t>
  </si>
  <si>
    <t>5.</t>
  </si>
  <si>
    <t>6.</t>
  </si>
  <si>
    <t>Пријем</t>
  </si>
  <si>
    <t>7.</t>
  </si>
  <si>
    <t>8.</t>
  </si>
  <si>
    <t>9.</t>
  </si>
  <si>
    <t>*последњи дан претходног тромесечја</t>
  </si>
  <si>
    <t>** последњи дан тромесечја за који се извештај доставља</t>
  </si>
  <si>
    <t>Овлашћено лице: ___________________________</t>
  </si>
  <si>
    <t>Рeдни
брoj</t>
  </si>
  <si>
    <t>Ознака норме</t>
  </si>
  <si>
    <t>Број
анализе</t>
  </si>
  <si>
    <t>Опис позиције</t>
  </si>
  <si>
    <t>Јединица
мере</t>
  </si>
  <si>
    <t>Цена материјала у дин.
(без ПДВ-а)</t>
  </si>
  <si>
    <t>Цена рада у дин.
(без ПДВ-а)</t>
  </si>
  <si>
    <t>Јединична
цена у дин.
(без ПДВ-а)</t>
  </si>
  <si>
    <t>Јединична
цена у дин.
(са ПДВ-ом)</t>
  </si>
  <si>
    <t>Припремни радови</t>
  </si>
  <si>
    <t xml:space="preserve"> 1 .</t>
  </si>
  <si>
    <t>Израда прилаза - трепни</t>
  </si>
  <si>
    <t xml:space="preserve"> 2 .</t>
  </si>
  <si>
    <t>Израда привремене ограде</t>
  </si>
  <si>
    <t>по m'</t>
  </si>
  <si>
    <t xml:space="preserve"> 3 .</t>
  </si>
  <si>
    <t>Израда левка за спуштање материјала</t>
  </si>
  <si>
    <t xml:space="preserve"> 4 .</t>
  </si>
  <si>
    <t>Израда кочића до 50 cm</t>
  </si>
  <si>
    <t>по ком.</t>
  </si>
  <si>
    <t xml:space="preserve"> 5 .</t>
  </si>
  <si>
    <t>Израда кочића до 100 cm</t>
  </si>
  <si>
    <t xml:space="preserve"> 6 .</t>
  </si>
  <si>
    <t xml:space="preserve"> 7 .</t>
  </si>
  <si>
    <t xml:space="preserve"> 8 .</t>
  </si>
  <si>
    <t xml:space="preserve"> 9 .</t>
  </si>
  <si>
    <t xml:space="preserve"> 10 .</t>
  </si>
  <si>
    <t>Саобраћајно обезбеђење у току извођења радова</t>
  </si>
  <si>
    <t xml:space="preserve"> 11 .</t>
  </si>
  <si>
    <t>Прибављање извода из листе непокретности у електронском облику</t>
  </si>
  <si>
    <t>по парцели</t>
  </si>
  <si>
    <t xml:space="preserve"> 12 .</t>
  </si>
  <si>
    <t>Геодетско обележавање трасе</t>
  </si>
  <si>
    <t xml:space="preserve"> 13 .</t>
  </si>
  <si>
    <t>Земљани радови</t>
  </si>
  <si>
    <t>Ручни ископ земље II категорије са одбацивањем на обе стране природно влажна без жила и корења</t>
  </si>
  <si>
    <t>Ручни ископ земље II категорије са одбацивањем на обе стране мокра без жила и корења</t>
  </si>
  <si>
    <t>Ручни ископ земље II категорије са одбацивањем на обе стране житка без жила и корења</t>
  </si>
  <si>
    <t>Ручни ископ земље III категорије са одбацивањем на обе стране природно влажна без жила и корења</t>
  </si>
  <si>
    <t>Ручни ископ земље III категорије са одбацивањем на обе стране мокра без жила и корења</t>
  </si>
  <si>
    <t>Ручни ископ земље III категорије са одбацивањем на обе стране житка без жила и корења</t>
  </si>
  <si>
    <t>Ручно планирање земљаних површина земље III категорије косе површине</t>
  </si>
  <si>
    <t>Крчење шибља булдозером са гурањем на даљину 20 m</t>
  </si>
  <si>
    <t xml:space="preserve"> 14 .</t>
  </si>
  <si>
    <t xml:space="preserve"> 15 .</t>
  </si>
  <si>
    <t xml:space="preserve"> 16 .</t>
  </si>
  <si>
    <t>Машинско разастирање ископа земље III категорије  булдозером  у слојевима до 30 cm</t>
  </si>
  <si>
    <t xml:space="preserve"> 17 .</t>
  </si>
  <si>
    <t>Машинско разастирање ископа земље III категорије  булдозером  у слојевима до 30 cm и дотеривање шкарпе према профилу</t>
  </si>
  <si>
    <t xml:space="preserve"> 18 .</t>
  </si>
  <si>
    <t xml:space="preserve">Машинско разастирање ископа земље V категорије  булдозером  у слојевима до 30 cm </t>
  </si>
  <si>
    <t xml:space="preserve"> 19 .</t>
  </si>
  <si>
    <t xml:space="preserve"> 20 .</t>
  </si>
  <si>
    <t xml:space="preserve"> 21 .</t>
  </si>
  <si>
    <t>Ископ канала у земљи III категорије багером природно влажна земља</t>
  </si>
  <si>
    <t xml:space="preserve"> 22 .</t>
  </si>
  <si>
    <t>Ископ канала у земљи III категорије багером мокра земља</t>
  </si>
  <si>
    <t xml:space="preserve"> 23 .</t>
  </si>
  <si>
    <t xml:space="preserve"> 24 .</t>
  </si>
  <si>
    <t>Ископ канала у земљи III категорије багером природно влажна земља профилном кашиком</t>
  </si>
  <si>
    <t xml:space="preserve"> 25 .</t>
  </si>
  <si>
    <t>Ископ канала у земљи III категорије багером мокра профилном кашиком</t>
  </si>
  <si>
    <t xml:space="preserve"> 26 .</t>
  </si>
  <si>
    <t>Вађење пањева багером Ø 15 - 25 cm</t>
  </si>
  <si>
    <t xml:space="preserve"> 27 .</t>
  </si>
  <si>
    <t>Вађење пањева багером Ø 25 - 50 cm</t>
  </si>
  <si>
    <t xml:space="preserve"> 28 .</t>
  </si>
  <si>
    <t>Вађење пањева багером  &gt; 50 cm</t>
  </si>
  <si>
    <t xml:space="preserve"> 29 .</t>
  </si>
  <si>
    <t>Утовар песка утоваривачем у возило, природно влажан материјал</t>
  </si>
  <si>
    <t xml:space="preserve"> 30 .</t>
  </si>
  <si>
    <t>Уградња песка рефулисањем</t>
  </si>
  <si>
    <t xml:space="preserve"> 31 .</t>
  </si>
  <si>
    <t>Утовар шљунка утоваривачем у возило, природно влажан материјал</t>
  </si>
  <si>
    <t xml:space="preserve"> 32 .</t>
  </si>
  <si>
    <t>Утовар земље III категорије са утоваривачем у возило</t>
  </si>
  <si>
    <t xml:space="preserve"> 33 .</t>
  </si>
  <si>
    <t>Сабијање насипа вибројежевима</t>
  </si>
  <si>
    <t xml:space="preserve"> 34 .</t>
  </si>
  <si>
    <t>Сабијање насипа вибрационим ваљком</t>
  </si>
  <si>
    <t xml:space="preserve"> 35 .</t>
  </si>
  <si>
    <t>Сабијање насипа виброплочом</t>
  </si>
  <si>
    <t xml:space="preserve"> 36 .</t>
  </si>
  <si>
    <t>Ископ рупа за садњу садница</t>
  </si>
  <si>
    <t xml:space="preserve"> 37 .</t>
  </si>
  <si>
    <t>Бушење рупа тракторском бушилицом</t>
  </si>
  <si>
    <t xml:space="preserve"> 38 .</t>
  </si>
  <si>
    <t>Ручно хумузирање површина - равна површина</t>
  </si>
  <si>
    <t xml:space="preserve"> 39 .</t>
  </si>
  <si>
    <t>Ручно хумузирање површина - коса површина</t>
  </si>
  <si>
    <t xml:space="preserve"> 40 .</t>
  </si>
  <si>
    <t>Набавка и уградња песка</t>
  </si>
  <si>
    <t xml:space="preserve"> 41 .</t>
  </si>
  <si>
    <t>Набавка и уградња шљунка</t>
  </si>
  <si>
    <t>Тесарски радови</t>
  </si>
  <si>
    <t>Разупирање рова од 0 - 4 m дубине</t>
  </si>
  <si>
    <t>Армирачки радови</t>
  </si>
  <si>
    <t>Уградња арматуре једноставне и средње сложености Ø 6 -12</t>
  </si>
  <si>
    <t>по kg</t>
  </si>
  <si>
    <t>Монтажа електроварене мрежасте арматуре</t>
  </si>
  <si>
    <t>Бетонски  радови</t>
  </si>
  <si>
    <t>по m²</t>
  </si>
  <si>
    <t>Набавка, транспорт и уградња Дунав блокова дим. 20х25х40 cm</t>
  </si>
  <si>
    <t>Зидарски  радови</t>
  </si>
  <si>
    <t>Зидање зидова од бетонских блокова 12х20х40 cm у цементном малтеру</t>
  </si>
  <si>
    <t>Зидање зидова од бетонских блокова 20х20х40 cm у цементном малтеру</t>
  </si>
  <si>
    <t>Зидање зидова од бетонских блокова 25х25х40 cm у цементном малтеру</t>
  </si>
  <si>
    <t>Зидање зидова од пуне опеке d = 25 cm (са израдом помоћне скеле)</t>
  </si>
  <si>
    <t>Малтерисање зидова у продужном малтеру (са израдом помоћне скеле)</t>
  </si>
  <si>
    <t>Монтерски  радови</t>
  </si>
  <si>
    <t>Набавка, транспорт и уградња PVC цеви 125х1000</t>
  </si>
  <si>
    <t>Набавка, транспорт и уградња PVC цеви 160х1000</t>
  </si>
  <si>
    <t>Набавка, транспорт и уградња PVC цеви 200х1000</t>
  </si>
  <si>
    <t>Набавка и уградња бетонских каналета 50 х 40 х 10 cm</t>
  </si>
  <si>
    <t>Набавка транспорт и уградња АБ стубова за ограду 10 х 12 х 250 cm (прави)</t>
  </si>
  <si>
    <t>Набавка транспорт и уградња АБ стубова за ограду 10 х 12 х 300 cm (криви)</t>
  </si>
  <si>
    <t>Набавка, транспорт и уградња "жабљег" поклопца Ø 600</t>
  </si>
  <si>
    <t>Набавка, транспорт и уградња "жабљег" поклопца Ø 800</t>
  </si>
  <si>
    <t>Набавка, транспорт и уградња "жабљег" поклопца Ø 1000</t>
  </si>
  <si>
    <t>Набавка, транспорт и уградња поклопца шахта носивости 5t</t>
  </si>
  <si>
    <t>Набавка, транспорт и уградња поклопца шахта носивости 15t</t>
  </si>
  <si>
    <t>Набавка, транспорт и уградња AБ елемената за шахте - прстен за шахт Ø 1000/250</t>
  </si>
  <si>
    <t>Набавка, транспорт и уградња AБ елемената за шахте - прстен за шахт Ø 1000/500</t>
  </si>
  <si>
    <t>Набавка, транспорт и уградња AБ елемената за шахте - прстен за шахт Ø 1000/1000</t>
  </si>
  <si>
    <t xml:space="preserve"> 42 .</t>
  </si>
  <si>
    <t xml:space="preserve"> 43 .</t>
  </si>
  <si>
    <t xml:space="preserve"> 44 .</t>
  </si>
  <si>
    <t>Набавка, транспорт и уградња бетонске плоче за шахт Ø 1150/650/200</t>
  </si>
  <si>
    <t xml:space="preserve"> 45 .</t>
  </si>
  <si>
    <t>Набавка, транспорт и уградња бетонске плоче за шахт  са закошењем Ø 1150/650/200</t>
  </si>
  <si>
    <t xml:space="preserve"> 46 .</t>
  </si>
  <si>
    <t>Набавка, транспорт и уградња AБ рамовског пропуста 2,0 х 2,0m L=1,0m</t>
  </si>
  <si>
    <t xml:space="preserve"> 47 .</t>
  </si>
  <si>
    <t>Набавка, транспорт и уградња AБ рамовског пропуста 2,5 х 2,5m L=1,0m</t>
  </si>
  <si>
    <t xml:space="preserve"> 48 .</t>
  </si>
  <si>
    <t>Набавка, транспорт и уградња најлон фолије 4m/6m/8m</t>
  </si>
  <si>
    <t xml:space="preserve"> 49 .</t>
  </si>
  <si>
    <t xml:space="preserve"> 50 .</t>
  </si>
  <si>
    <t>Набавка, транспорт и уградња (полиетилен) окитен црева 1''</t>
  </si>
  <si>
    <t xml:space="preserve"> 51 .</t>
  </si>
  <si>
    <t xml:space="preserve"> 52 .</t>
  </si>
  <si>
    <t xml:space="preserve"> 53 .</t>
  </si>
  <si>
    <t xml:space="preserve"> 54 .</t>
  </si>
  <si>
    <t>Набавка, транспорт и уградња тер хартије на битумену или битулиту</t>
  </si>
  <si>
    <t xml:space="preserve">m² </t>
  </si>
  <si>
    <t>Браварски радови</t>
  </si>
  <si>
    <t>Биолошки и биoтехнички радови</t>
  </si>
  <si>
    <t>Ручно кошење густо обрасле траве</t>
  </si>
  <si>
    <t>Ручно сечење шибља до 3 cm дебљине</t>
  </si>
  <si>
    <t>Ручно сечење шибља од 3 cm до 5 cm дебљине</t>
  </si>
  <si>
    <t>Машинско кошење траве тракторском косачицом</t>
  </si>
  <si>
    <t>Сечење дрвећа моторном тестером без кресања грана - тврдо дрво Ø 10 - 20 cm</t>
  </si>
  <si>
    <t>Сечење дрвећа моторном тестером без кресања грана - тврдо дрво Ø 20 - 30 cm</t>
  </si>
  <si>
    <t>Сечење дрвећа моторном тестером без кресања грана - тврдо дрво Ø 30 - 50 cm</t>
  </si>
  <si>
    <t>Сечење дрвећа моторном тестером без кресања грана - тврдо дрво &gt; Ø 50 cm</t>
  </si>
  <si>
    <t>Ручно вађење пањева до Ø 15 cm</t>
  </si>
  <si>
    <t>Ручно вађење пањева Ø 15 - Ø 25 cm</t>
  </si>
  <si>
    <t>Ручно вађење пањева Ø 25 - Ø 50 cm</t>
  </si>
  <si>
    <t>Ручно вађење пањева &gt; Ø 50 cm</t>
  </si>
  <si>
    <t>Ручно крчење корења шибља</t>
  </si>
  <si>
    <t>Ручно крчење корења багремца</t>
  </si>
  <si>
    <t>Радови у камену</t>
  </si>
  <si>
    <t>Израда, транспорт и уградња габиона дим. 2,0 x 1,0 x 0,50 m</t>
  </si>
  <si>
    <t>Израда, транспорт и уградња габионских мадраца дим. 0,3 x 1,0 x 2,0 m</t>
  </si>
  <si>
    <t>Израда облоге од ломљеног камена са заливањем спојница цементним малтером</t>
  </si>
  <si>
    <t>Дерсовање камене облоге цементним малтером</t>
  </si>
  <si>
    <t>Израда туцаничког застора  d = 10 cm</t>
  </si>
  <si>
    <t>Уградња ломљеног камена ролирањем</t>
  </si>
  <si>
    <t>Пренос грађевинског материјала на даљину до 50 m</t>
  </si>
  <si>
    <t>Превоз ископаног материјала ручним колицима I и II кат. природно влажна</t>
  </si>
  <si>
    <t xml:space="preserve">Превоз ископаног материјала ручним колицима III и IV кат. </t>
  </si>
  <si>
    <t>Превоз шљунка и песка природно влажан</t>
  </si>
  <si>
    <t>Превоз малтера - кречни и продужни</t>
  </si>
  <si>
    <t>Превоз бетона</t>
  </si>
  <si>
    <t>Превоз обрађеног камена</t>
  </si>
  <si>
    <t>Превоз ломљеног камена</t>
  </si>
  <si>
    <t>Превоз шута</t>
  </si>
  <si>
    <t>Превоз материјала у комадима до 20 kg по комаду</t>
  </si>
  <si>
    <t>Превоз материјала у комадима преко 20 kg по комаду</t>
  </si>
  <si>
    <t>Утовар и истовар ископа II категорије, природно влажан материјал</t>
  </si>
  <si>
    <t>Утовар и истовар ископа III категорије, природно влажан материјал</t>
  </si>
  <si>
    <t>Утовар и истовар ископа ломљеног камена d = 15 - 30 cm</t>
  </si>
  <si>
    <t xml:space="preserve">Утовар и истовар песка </t>
  </si>
  <si>
    <t>Утовар и истовар шљунка</t>
  </si>
  <si>
    <t>Утовар и истовар резане грађе</t>
  </si>
  <si>
    <t>Утовар бетонског гвожђа у шипкама</t>
  </si>
  <si>
    <t>по t</t>
  </si>
  <si>
    <t>Механизација</t>
  </si>
  <si>
    <t>пo час.</t>
  </si>
  <si>
    <t>Рад камиона кипера</t>
  </si>
  <si>
    <t>Теренско возило</t>
  </si>
  <si>
    <t>Рад вучног воза на превозу грађевинских машина</t>
  </si>
  <si>
    <t>Рад вишенаменског амфибијског возила</t>
  </si>
  <si>
    <t>Ангажовање чамца без мотора у току извођења радова</t>
  </si>
  <si>
    <t>Рад пловне дизалице носивости 100 t за вађење потопљених пловних објеката</t>
  </si>
  <si>
    <t>по дану</t>
  </si>
  <si>
    <t>Рад аутоцистерне</t>
  </si>
  <si>
    <t>Рад цистерне високог притиска "Woma" на одгушењу</t>
  </si>
  <si>
    <t>Долазак цистерни на место извршења</t>
  </si>
  <si>
    <t>по km</t>
  </si>
  <si>
    <t>Сат чекања миксера за бетон</t>
  </si>
  <si>
    <t>Пумпе за воду и ситна грађевинска механизација</t>
  </si>
  <si>
    <t>Первибратор за бетон</t>
  </si>
  <si>
    <t>Превоз</t>
  </si>
  <si>
    <t>Превоз расутог материјала камионом до 1 km</t>
  </si>
  <si>
    <t>Превоз расутог материјала камионом до 2 km</t>
  </si>
  <si>
    <t>Превоз расутог материјала камионом до 3 km</t>
  </si>
  <si>
    <t>Превоз расутог материјала камионом до 4 km</t>
  </si>
  <si>
    <t xml:space="preserve">Превоз расутог материјала камионом до 5 km </t>
  </si>
  <si>
    <t xml:space="preserve">Превоз расутог материјала камионом до 10 km </t>
  </si>
  <si>
    <t>Превоз расутог материјала камионом до 15 km</t>
  </si>
  <si>
    <t>Превоз расутог материјала камионом до 20 km</t>
  </si>
  <si>
    <t>Превоз расутог материјала камионом до 25 km</t>
  </si>
  <si>
    <t>Превоз расутог материјала камионом до 30 km</t>
  </si>
  <si>
    <t>Довоз и одвоз опреме и механизације и издавање потребних дозвола</t>
  </si>
  <si>
    <t>Превоз бетона до 10 km</t>
  </si>
  <si>
    <t>по тури</t>
  </si>
  <si>
    <t>Превоз бетона до 20 km</t>
  </si>
  <si>
    <t>Превоз бетона до 40 km</t>
  </si>
  <si>
    <t>Превоз бетона до 70 km</t>
  </si>
  <si>
    <t>Вађење, транспорт и лагеровање потопљених пловних објеката</t>
  </si>
  <si>
    <t>Вађење потопљених пловних објеката на Сави и Дунаву:</t>
  </si>
  <si>
    <t>Транспорт дизалице до 5 km</t>
  </si>
  <si>
    <t>паушално</t>
  </si>
  <si>
    <t>Транспорт дизалице до 10 km</t>
  </si>
  <si>
    <t>Транспорт дизалице до 30 km</t>
  </si>
  <si>
    <t>Услуга рада рониоца</t>
  </si>
  <si>
    <t>Транспорт извађеног објекта и осталих објеката са места вађења до одредишта</t>
  </si>
  <si>
    <t>Објекат преко 600 m²</t>
  </si>
  <si>
    <t>Лагеровање и чување објеката</t>
  </si>
  <si>
    <t>Спровођење мера при хаваријским загађењима</t>
  </si>
  <si>
    <t>Излазак на терен и припрема локације за рад</t>
  </si>
  <si>
    <t>Рад НК радника</t>
  </si>
  <si>
    <t>по час.</t>
  </si>
  <si>
    <t>Рад инжењера експерта (ВСС)</t>
  </si>
  <si>
    <t>Рад вође групе (ВСС)</t>
  </si>
  <si>
    <t>Коришћење специјализованог возила са комплетном еколошком опремом (вакум пумпа, ВП пумпа, канал - јет систем за пробијање запушених канализација, коморе за смештај)</t>
  </si>
  <si>
    <t>Коришћење доставног возила</t>
  </si>
  <si>
    <t>Коришћење ауто-подизача</t>
  </si>
  <si>
    <t>Коришћење упијајуће плахте</t>
  </si>
  <si>
    <t>Коришћење упијајуће "Sorbix" бране за упијање масноћа и нафте</t>
  </si>
  <si>
    <t>Средство за упијање масноће</t>
  </si>
  <si>
    <t>Коришћење чамца</t>
  </si>
  <si>
    <t>Грубо чишћење</t>
  </si>
  <si>
    <t>Одмашћивање</t>
  </si>
  <si>
    <t>Испирање</t>
  </si>
  <si>
    <t>Дисперзант</t>
  </si>
  <si>
    <t>по литру</t>
  </si>
  <si>
    <t>Ангажовање пловне механизације</t>
  </si>
  <si>
    <t>Закуп скеле</t>
  </si>
  <si>
    <t>Најам малог гуменог чамца 15 KS</t>
  </si>
  <si>
    <t>Најам чамца гума пластика 50 KS</t>
  </si>
  <si>
    <t>Најам чамца гума пластика 140 KS</t>
  </si>
  <si>
    <t>Најам металног чамца</t>
  </si>
  <si>
    <t>Управљач чамца</t>
  </si>
  <si>
    <t>Најам брода до 750 kW</t>
  </si>
  <si>
    <t>Најам брода до 750 kW са дежурством</t>
  </si>
  <si>
    <t>Најам брода преко 750 kW</t>
  </si>
  <si>
    <t>Рад ледоломца или брода који ломи лед до 750 kW са посадом и дежурством или радом
 24 часа</t>
  </si>
  <si>
    <t>Најам самоходног теретњака до 1000 t</t>
  </si>
  <si>
    <t>Најам реморкера до 150 KS</t>
  </si>
  <si>
    <t xml:space="preserve">Радови на пошумљавању </t>
  </si>
  <si>
    <t>пo km</t>
  </si>
  <si>
    <t>пo ком.</t>
  </si>
  <si>
    <t>Рад витла (чекрка) за привлачење стабала</t>
  </si>
  <si>
    <t>Јединичне цене за функционалне пословима на водном подручју града Београда</t>
  </si>
  <si>
    <t>Руководилац објекта</t>
  </si>
  <si>
    <t>Дипломирани грађевински инжењер</t>
  </si>
  <si>
    <t>Дипломирани геодетски инжењер</t>
  </si>
  <si>
    <t>Геодетски техничар</t>
  </si>
  <si>
    <t>Техничар објекта</t>
  </si>
  <si>
    <t>Радник металске струке (ССС)</t>
  </si>
  <si>
    <t>Радник електро струке (ССС)</t>
  </si>
  <si>
    <t>Возач (ССС)</t>
  </si>
  <si>
    <t>Радник (КВ) на одржавању водних објекта</t>
  </si>
  <si>
    <t>Образац 5</t>
  </si>
  <si>
    <t>СУБВЕНЦИЈЕ И ОСТАЛИ ПРИХОДИ ИЗ БУЏЕТА</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</si>
  <si>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</si>
  <si>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</si>
  <si>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</si>
  <si>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</si>
  <si>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</si>
  <si>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</si>
  <si>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</si>
  <si>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</si>
  <si>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</si>
  <si>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</si>
  <si>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01.01. до 31.03.</t>
  </si>
  <si>
    <t>01.01. до 30.06.</t>
  </si>
  <si>
    <t>01.01. до 30.09.</t>
  </si>
  <si>
    <t>01.01. до 31.12.</t>
  </si>
  <si>
    <t>Индекс                               реализацијa 01.01.-31.03. /                                план 01.01.-31.03.</t>
  </si>
  <si>
    <t>Индекс                               реализацијa 01.01.-30.06. /                                план 01.01.-30.06.</t>
  </si>
  <si>
    <t>Индекс                               реализацијa 01.01.-30.09. /                                план 01.01.-30.09.</t>
  </si>
  <si>
    <t>Остали приходи из буџета</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</si>
  <si>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</si>
  <si>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</si>
  <si>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 xml:space="preserve">     Овлашћено лице: _____________________________</t>
  </si>
  <si>
    <t>Образац 6</t>
  </si>
  <si>
    <t>СРЕДСТВА ЗА ПОСЕБНЕ НАМЕНЕ</t>
  </si>
  <si>
    <t>Позиција</t>
  </si>
  <si>
    <t>Спонзорство</t>
  </si>
  <si>
    <t>Донације</t>
  </si>
  <si>
    <t>Хуманитарне активности</t>
  </si>
  <si>
    <t>Спортске активности</t>
  </si>
  <si>
    <t>Репрезентација</t>
  </si>
  <si>
    <t>Реклама и пропаганда</t>
  </si>
  <si>
    <t>Остало</t>
  </si>
  <si>
    <t>Образац 7</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</si>
  <si>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</si>
  <si>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</si>
  <si>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</si>
  <si>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</si>
  <si>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</si>
  <si>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</si>
  <si>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</si>
  <si>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</si>
  <si>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</si>
  <si>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</si>
  <si>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</si>
  <si>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t>2016*</t>
  </si>
  <si>
    <t>2017**</t>
  </si>
  <si>
    <t xml:space="preserve">КРЕДИТНА ЗАДУЖЕНОСТ </t>
  </si>
  <si>
    <t>Кредитор</t>
  </si>
  <si>
    <t>Назив кредита / Пројекта</t>
  </si>
  <si>
    <t>Валута</t>
  </si>
  <si>
    <t>Уговорени износ кредита</t>
  </si>
  <si>
    <t>Гаранција државе
Да/Не</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</si>
  <si>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</si>
  <si>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</si>
  <si>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</si>
  <si>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</si>
  <si>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</si>
  <si>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</si>
  <si>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</si>
  <si>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</si>
  <si>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</si>
  <si>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</si>
  <si>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</si>
  <si>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</si>
  <si>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</si>
  <si>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</si>
  <si>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</si>
  <si>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</si>
  <si>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Банка Интеза</t>
  </si>
  <si>
    <t>кредитна линија за набавку опреме</t>
  </si>
  <si>
    <t>РСД</t>
  </si>
  <si>
    <t>Не</t>
  </si>
  <si>
    <t>2,7%+3М БЕЛИБОР</t>
  </si>
  <si>
    <t xml:space="preserve">   ...................</t>
  </si>
  <si>
    <t>Страни кредитор</t>
  </si>
  <si>
    <t>Укупно кредитно задужење</t>
  </si>
  <si>
    <t>од чега за ликвидност</t>
  </si>
  <si>
    <t>од чега за капиталне пројекте</t>
  </si>
  <si>
    <t>НАПОМЕНА:</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</si>
  <si>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</si>
  <si>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</si>
  <si>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</si>
  <si>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</si>
  <si>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</si>
  <si>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</si>
  <si>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</si>
  <si>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</si>
  <si>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текући рачун</t>
  </si>
  <si>
    <t>Банка Интеза - боловање</t>
  </si>
  <si>
    <t>Управа за трезор</t>
  </si>
  <si>
    <t>Укупно у динарима</t>
  </si>
  <si>
    <t>прелазни рачун</t>
  </si>
  <si>
    <t xml:space="preserve">                                                    Овлашћено лице: ____________________________________</t>
  </si>
  <si>
    <t>Образац 10</t>
  </si>
  <si>
    <t>ИЗВЕШТАЈ О ИНВЕСТИЦИЈАМА</t>
  </si>
  <si>
    <t>у 000 дин</t>
  </si>
  <si>
    <t>Редни број</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</si>
  <si>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</si>
  <si>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</si>
  <si>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</si>
  <si>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</si>
  <si>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</si>
  <si>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</si>
  <si>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</si>
  <si>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</si>
  <si>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</si>
  <si>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 xml:space="preserve">План  </t>
  </si>
  <si>
    <t xml:space="preserve">Реализација  </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</si>
  <si>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</si>
  <si>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</si>
  <si>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</si>
  <si>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</si>
  <si>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</si>
  <si>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</si>
  <si>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</si>
  <si>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</si>
  <si>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</si>
  <si>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</si>
  <si>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</si>
  <si>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</si>
  <si>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</si>
  <si>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</si>
  <si>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</si>
  <si>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</si>
  <si>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</si>
  <si>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</si>
  <si>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</si>
  <si>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</si>
  <si>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</si>
  <si>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</si>
  <si>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</si>
  <si>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</si>
  <si>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</si>
  <si>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</si>
  <si>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</si>
  <si>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</si>
  <si>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</si>
  <si>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</si>
  <si>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</si>
  <si>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</si>
  <si>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</si>
  <si>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</si>
  <si>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</si>
  <si>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</si>
  <si>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</si>
  <si>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</si>
  <si>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</si>
  <si>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</si>
  <si>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</si>
  <si>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</si>
  <si>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</si>
  <si>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</si>
  <si>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</si>
  <si>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</si>
  <si>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</si>
  <si>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</si>
  <si>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</si>
  <si>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</si>
  <si>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</si>
  <si>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</si>
  <si>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добит из 2017. године је искоришћена за покриће губитка из ранијих година Одлуком Надзорног одбора број 2502/4 од 11.06.2018. године, а на коју је Оснивач дао сагласност Решењем број 3-644/18-С од 25.09.2018. године</t>
  </si>
  <si>
    <r>
      <rPr>
        <b/>
        <sz val="12"/>
        <rFont val="Times New Roman"/>
        <family val="1"/>
      </rPr>
      <t>Напомена</t>
    </r>
    <r>
      <rPr>
        <sz val="12"/>
        <rFont val="Times New Roman"/>
        <family val="1"/>
      </rPr>
      <t>: У укупан број запослених ушао и један запослени чији је стаж у мировању.</t>
    </r>
  </si>
  <si>
    <t>Овлашћено лице:</t>
  </si>
  <si>
    <t>01.05.2018.</t>
  </si>
  <si>
    <t>Плотер</t>
  </si>
  <si>
    <t>Инвалидска пензија</t>
  </si>
  <si>
    <t>Уговор о раду</t>
  </si>
  <si>
    <t>Уговор о ПП пословима</t>
  </si>
  <si>
    <t xml:space="preserve">                                                                              </t>
  </si>
  <si>
    <t xml:space="preserve">                                                </t>
  </si>
  <si>
    <t xml:space="preserve">                                                                                                                                                                                                                                                                                                                                                                                                                                                 </t>
  </si>
  <si>
    <t xml:space="preserve">                                                                                                                                                                                                                                                       </t>
  </si>
  <si>
    <t>Стање на дан 31.12.2019.</t>
  </si>
  <si>
    <t>Ребаланс</t>
  </si>
  <si>
    <t xml:space="preserve"> </t>
  </si>
  <si>
    <t>Доставна возила</t>
  </si>
  <si>
    <t>План</t>
  </si>
  <si>
    <t>Реализација 
01.01-31.12.2019.      Претходна година</t>
  </si>
  <si>
    <t>План за
01.01-31.12.2020.             Текућа година</t>
  </si>
  <si>
    <t>Стање на дан 
31.12.2019.
Претходна година</t>
  </si>
  <si>
    <t>Планирано стање 
на дан 31.12.2020. Текућа година</t>
  </si>
  <si>
    <t>31.03.2020.</t>
  </si>
  <si>
    <t>01.01.-31.03.2020.</t>
  </si>
  <si>
    <t>Претходна година
2019</t>
  </si>
  <si>
    <t>План за период 01.01-31.12.2020. текућа година</t>
  </si>
  <si>
    <t>Период од 01.01. до 31.03.2020.</t>
  </si>
  <si>
    <t>Период од 01.01. до 30.06.2020.</t>
  </si>
  <si>
    <t>Период од 01.01. до 30.09.2020.</t>
  </si>
  <si>
    <t>Период од 01.01. до 31.12.2020.</t>
  </si>
  <si>
    <t>План за
01.01-31.12.2019.             Претходна  година</t>
  </si>
  <si>
    <t>31.12.2019. (претходна година)</t>
  </si>
  <si>
    <t>30.06.2020.</t>
  </si>
  <si>
    <t>30.09.2020.</t>
  </si>
  <si>
    <t>31.12.2020.</t>
  </si>
  <si>
    <t>01.01.-30.06.2020.</t>
  </si>
  <si>
    <t>01.01.-30.09.2020.</t>
  </si>
  <si>
    <t>01.01.-31.12.2020.</t>
  </si>
  <si>
    <r>
      <t xml:space="preserve">**** добит  из 2018. године је искоришћена за инвестиције у опрему за обављање основне делатности Одлуком Надзорног одбора број 1848/4 од 10.05.2019. године,а на коју је Оснивач дао сагласност Решењем број 3-597/19-С од 27.09.2019. године. </t>
    </r>
    <r>
      <rPr>
        <b/>
        <sz val="12"/>
        <rFont val="Times New Roman"/>
        <family val="1"/>
      </rPr>
      <t>(Набављена су следећа средства : два доставна возила, вибро плоча, ротациона косачица, шумски мулчер за багер, тракторска рука са косачицом и трактор).</t>
    </r>
  </si>
  <si>
    <t>Индекс реализација 30.06.2020. /                  план 30.06.2020.</t>
  </si>
  <si>
    <t>БИЛАНС СТАЊА  на дан 30.06.2020.</t>
  </si>
  <si>
    <t>БИЛАНС УСПЕХА за период 01.01 - 30.06.2020.</t>
  </si>
  <si>
    <t xml:space="preserve"> 01.01 - 30.06.2020</t>
  </si>
  <si>
    <t>Индекс 
 реализација                    01.01. -30.06.2020/                   план 01.01. -30.06.2020.</t>
  </si>
  <si>
    <t>01.01. - 30.06.2020.</t>
  </si>
  <si>
    <t>Индекс 
 реализација                    01.01. -30.06/                   план 01.01.-30.06.</t>
  </si>
  <si>
    <t>Индекс 
 реализација 01.01. -30.06.2020/                           план 01.01. - 30.06.2020.</t>
  </si>
  <si>
    <t>Стање на дан 30.06.2020.</t>
  </si>
  <si>
    <t>Стање кредитне задужености 
на 30.06.2020.године у оригиналној валути</t>
  </si>
  <si>
    <t>Стање кредитне задужености 
30.06.2020. године у динарима</t>
  </si>
  <si>
    <t>Тракторска рука са мулчером</t>
  </si>
  <si>
    <t>Таруп за Метрак</t>
  </si>
  <si>
    <t>Мултифунционално пловило</t>
  </si>
  <si>
    <t>Индекс 
 реализација 01.01. -30.06.2020.                  план 01.01. -30.06.2020.</t>
  </si>
  <si>
    <t>у периоду од 01.01. до 30.06.2020. године</t>
  </si>
  <si>
    <t>Канистери од 600л за дистпиб. горива са пиштољем</t>
  </si>
  <si>
    <t>Превремена пензија</t>
  </si>
  <si>
    <t>Старосна пензија</t>
  </si>
  <si>
    <t>Радник преминуо</t>
  </si>
  <si>
    <t>****** добит из 2019. године биће уплаћена у Буџет града Београда(85%) и остатак од 15% остаће нераспоређен.</t>
  </si>
  <si>
    <t>Понтон од тврдог полиетилена</t>
  </si>
  <si>
    <t>ЈВП "Београдводе"</t>
  </si>
  <si>
    <r>
      <rPr>
        <b/>
        <sz val="16"/>
        <rFont val="Times New Roman"/>
        <family val="1"/>
      </rPr>
      <t xml:space="preserve">ЦЕНОВНИК </t>
    </r>
    <r>
      <rPr>
        <b/>
        <sz val="12"/>
        <rFont val="Times New Roman"/>
        <family val="1"/>
      </rPr>
      <t xml:space="preserve">
ОСНОВНИХ ПОЗИЦИЈА УСЛУГА И РАДОВА НА РЕДОВНОМ ОДРЖАВАЊУ ВОДНИХ ОБЈЕКАТА 
(ВОДОТОКА И РЕГУЛАЦИОНИХ ГРАЂЕВИНА), УКЛАЊАЊА ПЛОВНИХ ОБЈЕКАТА И 
ПОСЕЧЕНОГ ДРВЕТА ПО СОРТИМЕНТИМА
НА ТЕРИТОРИЈИ ГРАДА БЕОГРАДА ЗА 2020. ГОДИНУ</t>
    </r>
  </si>
  <si>
    <t>А.</t>
  </si>
  <si>
    <t>ГН 100.107.1</t>
  </si>
  <si>
    <t>1.ГПР.1</t>
  </si>
  <si>
    <r>
      <t>по m</t>
    </r>
    <r>
      <rPr>
        <sz val="12"/>
        <rFont val="Times New Roman"/>
        <family val="1"/>
      </rPr>
      <t>²</t>
    </r>
  </si>
  <si>
    <t>ГН 100.107.2</t>
  </si>
  <si>
    <t>1.ГПР.2</t>
  </si>
  <si>
    <t>ГН 100.108.1</t>
  </si>
  <si>
    <t>1.ГПР.3</t>
  </si>
  <si>
    <t>ГН 100.109.1</t>
  </si>
  <si>
    <t>1.ГПР.4</t>
  </si>
  <si>
    <t>ГН 100.109.3</t>
  </si>
  <si>
    <t>1.ГПР.5</t>
  </si>
  <si>
    <t>ГН 361-101.1.1</t>
  </si>
  <si>
    <t>1.ГПР.6</t>
  </si>
  <si>
    <t>Набавка, транспорт и уградња геотекстила тип 250 g</t>
  </si>
  <si>
    <t>ГН 361-101.1.2</t>
  </si>
  <si>
    <t>1.ГПР.7</t>
  </si>
  <si>
    <t>Набавка, транспорт и уградња геотекстила тип 300 g</t>
  </si>
  <si>
    <t>ГН 361-101.1.3</t>
  </si>
  <si>
    <t>1.ГПР.8</t>
  </si>
  <si>
    <t>Набавка, транспорт и уградња геотекстила тип 500 g</t>
  </si>
  <si>
    <t>Снимање евиденционих профила ехосондером</t>
  </si>
  <si>
    <t>1.ГПР.9</t>
  </si>
  <si>
    <t>Израда елабората са теренским радом</t>
  </si>
  <si>
    <t>Б.</t>
  </si>
  <si>
    <t>2ГЗЕМ.1</t>
  </si>
  <si>
    <r>
      <t>по m</t>
    </r>
    <r>
      <rPr>
        <sz val="12"/>
        <rFont val="Times New Roman"/>
        <family val="1"/>
      </rPr>
      <t>³</t>
    </r>
  </si>
  <si>
    <t>2ГЗЕМ.2</t>
  </si>
  <si>
    <t>2ГЗЕМ.3</t>
  </si>
  <si>
    <t>2ГЗЕМ.4</t>
  </si>
  <si>
    <t>2ГЗЕМ.5</t>
  </si>
  <si>
    <t>2ГЗЕМ.6</t>
  </si>
  <si>
    <t>2ГЗЕМ.7</t>
  </si>
  <si>
    <t>Ручно насипање земље</t>
  </si>
  <si>
    <t>2ГЗЕМ.8</t>
  </si>
  <si>
    <t>Ручно планирање земљаних површина III категорије земље равне површине</t>
  </si>
  <si>
    <t>2ГЗЕМ.9</t>
  </si>
  <si>
    <t>2ГЗЕМ.10</t>
  </si>
  <si>
    <t>Ручно разастирање природног шљунка за тампон d = 10 cm</t>
  </si>
  <si>
    <t>2ГЗЕМ.11</t>
  </si>
  <si>
    <t>2ГЗЕМ.12</t>
  </si>
  <si>
    <t>Машински ископ хумуса булдозером са гурањем до 20 m</t>
  </si>
  <si>
    <t>2ГЗЕМ.14</t>
  </si>
  <si>
    <t>Машински откоп шљунка и песка булдозером са гурањем до 20 m у слоју до d = 20 cm</t>
  </si>
  <si>
    <t>2ГЗЕМ.15</t>
  </si>
  <si>
    <t>Машински ископ земље III категорије булдозером</t>
  </si>
  <si>
    <t>2ГЗЕМ.16</t>
  </si>
  <si>
    <t>2ГЗЕМ.17</t>
  </si>
  <si>
    <t>2ГЗЕМ.18</t>
  </si>
  <si>
    <t>2ГЗЕМ.20</t>
  </si>
  <si>
    <t>Машинско разастирање хумуса булдозером у слојевима до 20 cm, гурањем на даљину до 60 m, са дотеривањем шкарпе према профилу</t>
  </si>
  <si>
    <t>2ГЗЕМ.21</t>
  </si>
  <si>
    <t>2ГЗЕМ.22</t>
  </si>
  <si>
    <t>2ГЗЕМ.23</t>
  </si>
  <si>
    <t>Ископ канала у земљи III категорије багером са дугом руком мокра земља</t>
  </si>
  <si>
    <t>2ГЗЕМ.24</t>
  </si>
  <si>
    <t>2ГЗЕМ.25</t>
  </si>
  <si>
    <t>2ГЗЕМ.26</t>
  </si>
  <si>
    <t>2ГЗЕМ.27</t>
  </si>
  <si>
    <t>2ГЗЕМ.28</t>
  </si>
  <si>
    <t>2ГЗЕМ.29</t>
  </si>
  <si>
    <t>2ГЗЕМ.30</t>
  </si>
  <si>
    <t>2ГЗЕМ.31</t>
  </si>
  <si>
    <t>2ГЗЕМ.32</t>
  </si>
  <si>
    <t>2ГЗЕМ.33</t>
  </si>
  <si>
    <t>2ГЗЕМ.34</t>
  </si>
  <si>
    <t>2ГЗЕМ.35</t>
  </si>
  <si>
    <t>2ГЗЕМ.36</t>
  </si>
  <si>
    <t>2ГЗЕМ.37</t>
  </si>
  <si>
    <t>2ГЗЕМ.38</t>
  </si>
  <si>
    <t>Ц.</t>
  </si>
  <si>
    <t>ГН 200.320.1.1</t>
  </si>
  <si>
    <t>3.ГТЕС1</t>
  </si>
  <si>
    <t>ГН 601.210.4 B.1</t>
  </si>
  <si>
    <t>3.ГТЕС2</t>
  </si>
  <si>
    <t>Набавка материјала, израда, монтажа и демонтажа једностране оплате од здраве чамове грађе</t>
  </si>
  <si>
    <t>ГН 601.211.1P</t>
  </si>
  <si>
    <t>3.ГТЕС3</t>
  </si>
  <si>
    <t>Набавка материјала, израда, монтажа и демонтажа двостране оплате од здраве чамове грађе</t>
  </si>
  <si>
    <t>3.ГТЕС4</t>
  </si>
  <si>
    <t>Монтажа и демонтажа једностране оплате од здраве чамове грађе</t>
  </si>
  <si>
    <t>3.ГТЕС5</t>
  </si>
  <si>
    <t>Монтажа и демонтажа двостране оплате од здраве чамове грађе</t>
  </si>
  <si>
    <t>Д.</t>
  </si>
  <si>
    <t>ГН 400-101.3.1</t>
  </si>
  <si>
    <t>4.ГАРМ1</t>
  </si>
  <si>
    <t>ГН 400-106B11</t>
  </si>
  <si>
    <t>4.ГАРМ2</t>
  </si>
  <si>
    <t>Е.</t>
  </si>
  <si>
    <t>ГН 400.305.1' E</t>
  </si>
  <si>
    <t>5.ГБЕТ1</t>
  </si>
  <si>
    <t>Набавка, транспорт (до 30 km) и уградња машински справљеног бетона МБ 15</t>
  </si>
  <si>
    <t>5.ГБЕТ2</t>
  </si>
  <si>
    <t>Набавка, транспорт (до 30 km) и уградња машински справљеног бетона МБ 20</t>
  </si>
  <si>
    <t>5.ГБЕТ3</t>
  </si>
  <si>
    <t>Набавка, транспорт (до 30 km) и уградња машински справљеног бетона МБ 25</t>
  </si>
  <si>
    <t>ГН 400.305.1' Г</t>
  </si>
  <si>
    <t>5.ГБЕТ4</t>
  </si>
  <si>
    <t>Набавка, транспорт (до 30 km) и уградња машински справљеног бетона МБ 30</t>
  </si>
  <si>
    <t>5.ГБЕТ5</t>
  </si>
  <si>
    <t>Набавка, транспорт (до 30 km) и уградња машински справљеног бетона МБ 40</t>
  </si>
  <si>
    <t>5.ГБЕТ6</t>
  </si>
  <si>
    <t>Набавка, транспорт (до 30 km) и уградња машински справљеног бетона МБ 50</t>
  </si>
  <si>
    <t>ГН 400.301.2
ГН 400.605.А.11</t>
  </si>
  <si>
    <t>5.ГБЕТ7</t>
  </si>
  <si>
    <t>Ручно справљање и уграђивање бетона МБ 15</t>
  </si>
  <si>
    <t>ГН 400.301.3
ГН 400.605.А.11</t>
  </si>
  <si>
    <t>5.ГБЕТ8</t>
  </si>
  <si>
    <t>Ручно справљање и уграђивање бетона МБ 20</t>
  </si>
  <si>
    <t>ГН 400.401.1.</t>
  </si>
  <si>
    <t>5.ГБЕТ9</t>
  </si>
  <si>
    <t>Ф.</t>
  </si>
  <si>
    <t>ГН 301.404</t>
  </si>
  <si>
    <t>5.ГЗИД1</t>
  </si>
  <si>
    <t>5.ГЗИД2</t>
  </si>
  <si>
    <t>5.ГЗИД3</t>
  </si>
  <si>
    <t>ГН 301.101</t>
  </si>
  <si>
    <t>5.ГЗИД4</t>
  </si>
  <si>
    <t>ГН 301.770</t>
  </si>
  <si>
    <t>5.ГЗИД5</t>
  </si>
  <si>
    <t>Г.</t>
  </si>
  <si>
    <t>ГН 410.451.1.A.7</t>
  </si>
  <si>
    <t>7.ГМОН1</t>
  </si>
  <si>
    <r>
      <t xml:space="preserve">Набавка, транспорт и монтажа АБ цеви </t>
    </r>
    <r>
      <rPr>
        <sz val="12"/>
        <rFont val="Times New Roman"/>
        <family val="1"/>
      </rPr>
      <t>Ø</t>
    </r>
    <r>
      <rPr>
        <sz val="12"/>
        <rFont val="Times New Roman"/>
        <family val="1"/>
      </rPr>
      <t xml:space="preserve"> 600 mm (са фалцом)</t>
    </r>
  </si>
  <si>
    <t>ГН 410.451.1.A.9.</t>
  </si>
  <si>
    <t>7.ГМОН2</t>
  </si>
  <si>
    <r>
      <t xml:space="preserve">Набавка, транспорт и монтажа АБ цеви </t>
    </r>
    <r>
      <rPr>
        <sz val="12"/>
        <rFont val="Times New Roman"/>
        <family val="1"/>
      </rPr>
      <t>Ø</t>
    </r>
    <r>
      <rPr>
        <sz val="12"/>
        <rFont val="Times New Roman"/>
        <family val="1"/>
      </rPr>
      <t xml:space="preserve"> 800 mm (са фалцом)</t>
    </r>
  </si>
  <si>
    <t>ГН 410.451.1.A.10.</t>
  </si>
  <si>
    <t>7.ГМОН3</t>
  </si>
  <si>
    <r>
      <t xml:space="preserve">Набавка, транспорт и монтажа АБ цеви </t>
    </r>
    <r>
      <rPr>
        <sz val="12"/>
        <rFont val="Times New Roman"/>
        <family val="1"/>
      </rPr>
      <t>Ø</t>
    </r>
    <r>
      <rPr>
        <sz val="12"/>
        <rFont val="Times New Roman"/>
        <family val="1"/>
      </rPr>
      <t xml:space="preserve"> 1000 mm (са фалцом)</t>
    </r>
  </si>
  <si>
    <t>ГН 410.451.1.A.11.</t>
  </si>
  <si>
    <t>7.ГМОН4</t>
  </si>
  <si>
    <r>
      <t xml:space="preserve">Набавка, транспорт и монтажа АБ цеви </t>
    </r>
    <r>
      <rPr>
        <sz val="12"/>
        <rFont val="Times New Roman"/>
        <family val="1"/>
      </rPr>
      <t>Ø</t>
    </r>
    <r>
      <rPr>
        <sz val="12"/>
        <rFont val="Times New Roman"/>
        <family val="1"/>
      </rPr>
      <t xml:space="preserve"> 1200 mm (са фалцом)</t>
    </r>
  </si>
  <si>
    <t>7.ГМОН5</t>
  </si>
  <si>
    <r>
      <t xml:space="preserve">Набавка, транспорт и монтажа АБ цеви </t>
    </r>
    <r>
      <rPr>
        <sz val="12"/>
        <rFont val="Times New Roman"/>
        <family val="1"/>
      </rPr>
      <t>Ø</t>
    </r>
    <r>
      <rPr>
        <sz val="12"/>
        <rFont val="Times New Roman"/>
        <family val="1"/>
      </rPr>
      <t xml:space="preserve"> 1300 mm (са фалцом)</t>
    </r>
  </si>
  <si>
    <t>ГН 410.451.1.A.12.</t>
  </si>
  <si>
    <t>7.ГМОН6</t>
  </si>
  <si>
    <r>
      <t xml:space="preserve">Набавка, транспорт и монтажа АБ цеви </t>
    </r>
    <r>
      <rPr>
        <sz val="12"/>
        <rFont val="Times New Roman"/>
        <family val="1"/>
      </rPr>
      <t>Ø</t>
    </r>
    <r>
      <rPr>
        <sz val="12"/>
        <rFont val="Times New Roman"/>
        <family val="1"/>
      </rPr>
      <t xml:space="preserve"> 1400 mm (са фалцом)</t>
    </r>
  </si>
  <si>
    <t>ГН 410.451.1.A.13.</t>
  </si>
  <si>
    <t>7.ГМОН7</t>
  </si>
  <si>
    <r>
      <t xml:space="preserve">Набавка, транспорт и монтажа АБ цеви </t>
    </r>
    <r>
      <rPr>
        <sz val="12"/>
        <rFont val="Times New Roman"/>
        <family val="1"/>
      </rPr>
      <t>Ø</t>
    </r>
    <r>
      <rPr>
        <sz val="12"/>
        <rFont val="Times New Roman"/>
        <family val="1"/>
      </rPr>
      <t xml:space="preserve"> 1600 mm (са фалцом)</t>
    </r>
  </si>
  <si>
    <t>ГН 410.451.1.A.14.</t>
  </si>
  <si>
    <t>7.ГМОН8</t>
  </si>
  <si>
    <r>
      <t xml:space="preserve">Набавка, транспорт и монтажа АБ цеви </t>
    </r>
    <r>
      <rPr>
        <sz val="12"/>
        <rFont val="Times New Roman"/>
        <family val="1"/>
      </rPr>
      <t>Ø</t>
    </r>
    <r>
      <rPr>
        <sz val="12"/>
        <rFont val="Times New Roman"/>
        <family val="1"/>
      </rPr>
      <t xml:space="preserve"> 1800 mm (са фалцом)</t>
    </r>
  </si>
  <si>
    <t>ГН 410.451.1.A.15.</t>
  </si>
  <si>
    <t>7.ГМОН9</t>
  </si>
  <si>
    <r>
      <t xml:space="preserve">Набавка, транспорт и монтажа АБ цеви </t>
    </r>
    <r>
      <rPr>
        <sz val="12"/>
        <rFont val="Times New Roman"/>
        <family val="1"/>
      </rPr>
      <t>Ø</t>
    </r>
    <r>
      <rPr>
        <sz val="12"/>
        <rFont val="Times New Roman"/>
        <family val="1"/>
      </rPr>
      <t xml:space="preserve"> 2000 mm (са фалцом)</t>
    </r>
  </si>
  <si>
    <t>7.ГМОН10</t>
  </si>
  <si>
    <r>
      <t xml:space="preserve">Набавка, транспорт и монтажа АБ цеви </t>
    </r>
    <r>
      <rPr>
        <sz val="12"/>
        <rFont val="Times New Roman"/>
        <family val="1"/>
      </rPr>
      <t>Ø</t>
    </r>
    <r>
      <rPr>
        <sz val="12"/>
        <rFont val="Times New Roman"/>
        <family val="1"/>
      </rPr>
      <t xml:space="preserve"> 2200 mm (са фалцом)</t>
    </r>
  </si>
  <si>
    <t>7.ГМОН11</t>
  </si>
  <si>
    <r>
      <t xml:space="preserve">Набавка, транспорт и монтажа АБ цеви </t>
    </r>
    <r>
      <rPr>
        <sz val="12"/>
        <rFont val="Times New Roman"/>
        <family val="1"/>
      </rPr>
      <t>Ø</t>
    </r>
    <r>
      <rPr>
        <sz val="12"/>
        <rFont val="Times New Roman"/>
        <family val="1"/>
      </rPr>
      <t xml:space="preserve"> 2400 mm (са фалцом)</t>
    </r>
  </si>
  <si>
    <t>ГН 274-302.1</t>
  </si>
  <si>
    <t>7.ГМОН12</t>
  </si>
  <si>
    <t>Набавка, транспорт и монтажа дренажних цеви Ø 75</t>
  </si>
  <si>
    <t>ГН 274-302.2</t>
  </si>
  <si>
    <t>7.ГМОН13</t>
  </si>
  <si>
    <t>Набавка, транспорт и монтажа дренажних цеви Ø 110</t>
  </si>
  <si>
    <t>7.ГМОН14</t>
  </si>
  <si>
    <t>Набавка, транспорт и монтажа дренажних цеви Ø 125</t>
  </si>
  <si>
    <t>ГН 274-302.3</t>
  </si>
  <si>
    <t>7.ГМОН15</t>
  </si>
  <si>
    <t>Набавка, транспорт и монтажа дренажних цеви Ø 160</t>
  </si>
  <si>
    <t>ГН 410.455.1'А2</t>
  </si>
  <si>
    <t>7.ГМОН16</t>
  </si>
  <si>
    <t>Набавка, транспорт и уградња PVC цеви 50х1000</t>
  </si>
  <si>
    <t>ГН 410.455.1'А3</t>
  </si>
  <si>
    <t>7.ГМОН17</t>
  </si>
  <si>
    <t>Набавка, транспорт и уградња PVC цеви 75х1000</t>
  </si>
  <si>
    <t>7.ГМОН18</t>
  </si>
  <si>
    <t>7.ГМОН19</t>
  </si>
  <si>
    <t>ГН 410.455.1'А4</t>
  </si>
  <si>
    <t>7.ГМОН20</t>
  </si>
  <si>
    <t>7.ГМОН21</t>
  </si>
  <si>
    <t>Набавка, транспорт и уградња PVC цеви 250х1000</t>
  </si>
  <si>
    <t>7.ГМОН22</t>
  </si>
  <si>
    <t>Набавка, транспорт и уградња PVC цеви 300х1000</t>
  </si>
  <si>
    <t>7.ГМОН23</t>
  </si>
  <si>
    <t>Набавка, транспорт и уградња PVC цеви 400х1000</t>
  </si>
  <si>
    <t>ГН 242-501.1.3.</t>
  </si>
  <si>
    <t>7.ГМОН24</t>
  </si>
  <si>
    <t>Полагање бетонских плоча на подлози од песка 40/40/8 cm</t>
  </si>
  <si>
    <t>ГН 242-501.1.</t>
  </si>
  <si>
    <t>7.ГМОН25</t>
  </si>
  <si>
    <t>Полагање бетонских растер елемената на подлози од песка 40/60/8 cm</t>
  </si>
  <si>
    <t>ГН 242-402.3</t>
  </si>
  <si>
    <t>7.ГМОН26</t>
  </si>
  <si>
    <t>Полагање ивичњака на подлози од бетона са фуговањем 18/24/40 cm</t>
  </si>
  <si>
    <t>ГН 242-402.3.</t>
  </si>
  <si>
    <t>7.ГМОН27</t>
  </si>
  <si>
    <t>Полагање ивичњака на подлози од бетона са фуговањем 18/24/80 cm</t>
  </si>
  <si>
    <t>ГН 242-402.2</t>
  </si>
  <si>
    <t>7.ГМОН28</t>
  </si>
  <si>
    <t>Полагање ивичњака на подлози од бетона са фуговањем 20/24/40 cm</t>
  </si>
  <si>
    <t>ГН 242-402.5.</t>
  </si>
  <si>
    <t>7.ГМОН29</t>
  </si>
  <si>
    <t>Полагање ивичњака на подлози од бетона са фуговањем 20/24/80 cm</t>
  </si>
  <si>
    <t>ГН 242-402.6.</t>
  </si>
  <si>
    <t>7.ГМОН30</t>
  </si>
  <si>
    <t>Полагање ивичњака на подлози од бетона са фуговањем 12/18/40 cm</t>
  </si>
  <si>
    <t>ГН 242-402.7.</t>
  </si>
  <si>
    <t>7.ГМОН31</t>
  </si>
  <si>
    <t>Полагање ивичњака на подлогзи од бетона са фуговањем 12/18/80 cm</t>
  </si>
  <si>
    <t>ГН 274 501</t>
  </si>
  <si>
    <t>7.ГМОН32</t>
  </si>
  <si>
    <t>7.ГМОН33</t>
  </si>
  <si>
    <t>Набавка транспорт и уградња бетонских репера са стопом 10х 10 х 60 cm</t>
  </si>
  <si>
    <t>7.ГМОН34</t>
  </si>
  <si>
    <t>7.ГМОН35</t>
  </si>
  <si>
    <t>7.ГМОН36</t>
  </si>
  <si>
    <t>7.ГМОН37</t>
  </si>
  <si>
    <t>7.ГМОН38</t>
  </si>
  <si>
    <t>7.ГМОН39</t>
  </si>
  <si>
    <t>Набавка, транспорт и уградња "жабљег" поклопца Ø 1200</t>
  </si>
  <si>
    <t>ГН 410 459.4</t>
  </si>
  <si>
    <t>7.ГМОН40</t>
  </si>
  <si>
    <t>7.ГМОН41</t>
  </si>
  <si>
    <t>Набавка, транспорт и уградња поклопца шахта носивости 12,5t</t>
  </si>
  <si>
    <t>7.ГМОН42</t>
  </si>
  <si>
    <t>ГН 410 480.1-3</t>
  </si>
  <si>
    <t>7.ГМОН43</t>
  </si>
  <si>
    <t>7.ГМОН44</t>
  </si>
  <si>
    <t>7.ГМОН45</t>
  </si>
  <si>
    <t>7.ГМОН46</t>
  </si>
  <si>
    <t>7.ГМОН47</t>
  </si>
  <si>
    <t>7.ГМОН48</t>
  </si>
  <si>
    <t>7.ГМОН49</t>
  </si>
  <si>
    <t>ГН 561-201.2</t>
  </si>
  <si>
    <t>7.ГМОН50</t>
  </si>
  <si>
    <t>ГН 410.469.3.А.3</t>
  </si>
  <si>
    <t>7.ГМОН51</t>
  </si>
  <si>
    <t>ГН 200.501.3.</t>
  </si>
  <si>
    <t>7.ГМОН52</t>
  </si>
  <si>
    <t>Набавка, транспорт и уградња плетене поцинковане жице окца 50х50/1,8mm</t>
  </si>
  <si>
    <t>7.ГМОН53</t>
  </si>
  <si>
    <t>Набавка, транспорт и уградња плетене пластифициране жице окца 50х50/1,8mm</t>
  </si>
  <si>
    <t>ГН 561-108.1</t>
  </si>
  <si>
    <t>7.ГМОН54</t>
  </si>
  <si>
    <t>Х.</t>
  </si>
  <si>
    <t>ГН 701.401.A</t>
  </si>
  <si>
    <t>7-ГБРАВ1</t>
  </si>
  <si>
    <t>Набавка материјала, радионичка израда и уградња разних челичних профила на водним објектима</t>
  </si>
  <si>
    <t>ГН 701.301.A</t>
  </si>
  <si>
    <t>7.ГБРАВ2</t>
  </si>
  <si>
    <t xml:space="preserve">Набавка материјала, радионичка израда и монтажа металне ограде </t>
  </si>
  <si>
    <t>И.</t>
  </si>
  <si>
    <t>ГН 274.601.1</t>
  </si>
  <si>
    <t>6.ГББР1</t>
  </si>
  <si>
    <t>ГН 274.601.2</t>
  </si>
  <si>
    <t>6.ГББР2</t>
  </si>
  <si>
    <t>ГН 274.601.3</t>
  </si>
  <si>
    <t>6.ГББР3</t>
  </si>
  <si>
    <t>ГН 400.602.41</t>
  </si>
  <si>
    <t>6.ГББР4</t>
  </si>
  <si>
    <t>6.ГББР5</t>
  </si>
  <si>
    <t>Машинско кошење шибља багером са тарупом</t>
  </si>
  <si>
    <t>6.ГББР6</t>
  </si>
  <si>
    <t>Машинско кошење траве - багер + таруп - шибље</t>
  </si>
  <si>
    <t>6.ГББР7</t>
  </si>
  <si>
    <t>Уклањање дрвенастог растиња машинским путем - дробљењем - багер + шумски таруп</t>
  </si>
  <si>
    <t>ГН 200.317.1.A.4</t>
  </si>
  <si>
    <t>6.ГББР8</t>
  </si>
  <si>
    <t>Набавка семена и засејавање семенском смешом траве - равна површина</t>
  </si>
  <si>
    <t>ГН 200.317.1.B.4</t>
  </si>
  <si>
    <t>6.ГББР9</t>
  </si>
  <si>
    <t>Набавка семена и засејавање семенском смешом траве - коса површина</t>
  </si>
  <si>
    <t>ГН 200.205.2.B1</t>
  </si>
  <si>
    <t>6.ГББР10</t>
  </si>
  <si>
    <t>ГН 200.205.2.B2</t>
  </si>
  <si>
    <t>6.ГББР11</t>
  </si>
  <si>
    <t>ГН 200.205.2.B3</t>
  </si>
  <si>
    <t>6.ГББР12</t>
  </si>
  <si>
    <t>ГН 200.205.2.B4</t>
  </si>
  <si>
    <t>6.ГББР13</t>
  </si>
  <si>
    <t>ГН 200.206.1.1</t>
  </si>
  <si>
    <t>6.ГББР14</t>
  </si>
  <si>
    <t>ГН 200.206.1.2</t>
  </si>
  <si>
    <t>6.ГББР15</t>
  </si>
  <si>
    <t>ГН 200.206.1.3</t>
  </si>
  <si>
    <t>6.ГББР16</t>
  </si>
  <si>
    <t>ГН 200.206.1.4</t>
  </si>
  <si>
    <t>6.ГББР17</t>
  </si>
  <si>
    <t>ГН 200.207.2.1</t>
  </si>
  <si>
    <t>6.ГББР18</t>
  </si>
  <si>
    <t>ГН 200.207.2.2</t>
  </si>
  <si>
    <t>6.ГББР19</t>
  </si>
  <si>
    <t>ГН 200.207.1.</t>
  </si>
  <si>
    <t>6.ГББР20</t>
  </si>
  <si>
    <t>Чишћење облоге водотока од растиња</t>
  </si>
  <si>
    <t>Хемијско третирање корова-хебрицидисање</t>
  </si>
  <si>
    <t>Хемијско третирање облога-хебрицидисање</t>
  </si>
  <si>
    <t>Ј.</t>
  </si>
  <si>
    <t>ГН 900.103.23</t>
  </si>
  <si>
    <t>7ГРК1</t>
  </si>
  <si>
    <t>7ГРК2</t>
  </si>
  <si>
    <t>ГН 301-352.2</t>
  </si>
  <si>
    <t>7ГРК3</t>
  </si>
  <si>
    <t>ГН 301-782.2</t>
  </si>
  <si>
    <t>7ГРК4</t>
  </si>
  <si>
    <t>ГН 222-402.1</t>
  </si>
  <si>
    <t>7ГРК5</t>
  </si>
  <si>
    <t>ГН 200.312 М.3.1-3.1.1</t>
  </si>
  <si>
    <t>7ГРК6</t>
  </si>
  <si>
    <t>К.</t>
  </si>
  <si>
    <t>ГН 900.103.9</t>
  </si>
  <si>
    <t>8ГПГМ1</t>
  </si>
  <si>
    <t>ГН 900.103.13</t>
  </si>
  <si>
    <t>8ГПГМ2</t>
  </si>
  <si>
    <t>ГН 900.103.16</t>
  </si>
  <si>
    <t>8ГПГМ3</t>
  </si>
  <si>
    <t>ГН 900.103.19</t>
  </si>
  <si>
    <t>8ГПГМ4</t>
  </si>
  <si>
    <t>ГН 900.103.20</t>
  </si>
  <si>
    <t>8ГПГМ5</t>
  </si>
  <si>
    <t>ГН 900.103.22</t>
  </si>
  <si>
    <t>8ГПГМ6</t>
  </si>
  <si>
    <t>8ГПГМ7</t>
  </si>
  <si>
    <t>ГН 900.103.25</t>
  </si>
  <si>
    <t>8ГПГМ8</t>
  </si>
  <si>
    <t>ГН 900.103.28</t>
  </si>
  <si>
    <t>8ГПГМ9</t>
  </si>
  <si>
    <t>ГН 900.103.29</t>
  </si>
  <si>
    <t>8ГПГМ10</t>
  </si>
  <si>
    <t>ГН 900.117.3</t>
  </si>
  <si>
    <t>8ГПГМ11</t>
  </si>
  <si>
    <t>ГН 900.117.5</t>
  </si>
  <si>
    <t>8ГПГМ12</t>
  </si>
  <si>
    <t>ГН 900.117.20</t>
  </si>
  <si>
    <t>8ГПГМ13</t>
  </si>
  <si>
    <t>ГН 900.117.26</t>
  </si>
  <si>
    <t>8ГПГМ14</t>
  </si>
  <si>
    <t>ГН 900.117.30</t>
  </si>
  <si>
    <t>8ГПГМ15</t>
  </si>
  <si>
    <t>ГН 900.117.70</t>
  </si>
  <si>
    <t>8ГПГМ16</t>
  </si>
  <si>
    <t>ГН 900.117.93</t>
  </si>
  <si>
    <t>8ГПГМ17</t>
  </si>
  <si>
    <t>Л.</t>
  </si>
  <si>
    <t>Рад ауто дизалице 10t</t>
  </si>
  <si>
    <t>Рад ауто дизалице 10t-15t</t>
  </si>
  <si>
    <t>Рад ауто дизалице 20t-25t</t>
  </si>
  <si>
    <t>Рад ауто дизалице 25t-305</t>
  </si>
  <si>
    <t>Доставно возило - до 3t</t>
  </si>
  <si>
    <t>Вангабаритни превоз грађевинских машина вучним возом до 10 km</t>
  </si>
  <si>
    <t>пo тури</t>
  </si>
  <si>
    <t>Вангабаритни превоз грађевинских машина вучним возом до 20 km</t>
  </si>
  <si>
    <t>Вангабаритни превоз грађевинских машина вучним возом до 30 km</t>
  </si>
  <si>
    <t>Вангабаритни превоз грађевинских машина вучним возом до 50 km</t>
  </si>
  <si>
    <t>Вангабаритни превоз грађевинских машина вучним возом преко 50 km</t>
  </si>
  <si>
    <t>Рад цистерне за одвоз фекалних материја</t>
  </si>
  <si>
    <t>Рад бетонске пумпе на уградњи бетона</t>
  </si>
  <si>
    <t>М.</t>
  </si>
  <si>
    <r>
      <t>пo m</t>
    </r>
    <r>
      <rPr>
        <vertAlign val="superscript"/>
        <sz val="12"/>
        <rFont val="Times New Roman"/>
        <family val="1"/>
      </rPr>
      <t>3</t>
    </r>
    <r>
      <rPr>
        <sz val="12"/>
        <rFont val="Times New Roman"/>
        <family val="1"/>
      </rPr>
      <t>.</t>
    </r>
  </si>
  <si>
    <t>Рад бушилице "Торна" на пробијању рупа</t>
  </si>
  <si>
    <t>пo ком. рупе</t>
  </si>
  <si>
    <t>Н.</t>
  </si>
  <si>
    <t>по m³/km</t>
  </si>
  <si>
    <t>О.</t>
  </si>
  <si>
    <r>
      <t>Објекат до 100 m</t>
    </r>
    <r>
      <rPr>
        <sz val="12"/>
        <rFont val="Times New Roman"/>
        <family val="1"/>
      </rPr>
      <t>²</t>
    </r>
  </si>
  <si>
    <r>
      <t>Објекат од 200 m</t>
    </r>
    <r>
      <rPr>
        <sz val="12"/>
        <rFont val="Times New Roman"/>
        <family val="1"/>
      </rPr>
      <t>²</t>
    </r>
  </si>
  <si>
    <r>
      <t>Објекат од 300 m</t>
    </r>
    <r>
      <rPr>
        <sz val="12"/>
        <rFont val="Times New Roman"/>
        <family val="1"/>
      </rPr>
      <t>² до 600 m²</t>
    </r>
  </si>
  <si>
    <t>П.</t>
  </si>
  <si>
    <t>Рад КВ радника</t>
  </si>
  <si>
    <t>Коришћење заштитне пливајуће бране комплет са радном екипом</t>
  </si>
  <si>
    <t>Р.</t>
  </si>
  <si>
    <r>
      <t>Технички пловни објекат (понтон) од 20 m</t>
    </r>
    <r>
      <rPr>
        <sz val="12"/>
        <rFont val="Times New Roman"/>
        <family val="1"/>
      </rPr>
      <t>²</t>
    </r>
    <r>
      <rPr>
        <sz val="14.4"/>
        <rFont val="Times New Roman"/>
        <family val="1"/>
      </rPr>
      <t xml:space="preserve"> </t>
    </r>
    <r>
      <rPr>
        <sz val="12"/>
        <rFont val="Times New Roman"/>
        <family val="1"/>
      </rPr>
      <t xml:space="preserve">до 120 m² </t>
    </r>
  </si>
  <si>
    <t>С.</t>
  </si>
  <si>
    <t>Рад камиона са дизалицом (утовар трупаца и посеченог материјала са превозом до 10 km и истоваром слагањем)</t>
  </si>
  <si>
    <t>Рад камиона са дизалицом (утовар трупаца и посеченог материјала са превозом са превозом до 10 km и истоваром слагањем)</t>
  </si>
  <si>
    <t>Машинско бушење рупа за садњу садница</t>
  </si>
  <si>
    <t>Т.</t>
  </si>
  <si>
    <r>
      <t xml:space="preserve">* Ценовник огревног дрвета </t>
    </r>
    <r>
      <rPr>
        <b/>
        <sz val="9"/>
        <rFont val="Times New Roman"/>
        <family val="1"/>
      </rPr>
      <t>(на колском путу / пању сортиран по категоријама)</t>
    </r>
    <r>
      <rPr>
        <b/>
        <sz val="10"/>
        <rFont val="Times New Roman"/>
        <family val="1"/>
      </rPr>
      <t xml:space="preserve"> приложен је као одвојена табела</t>
    </r>
  </si>
  <si>
    <t>У</t>
  </si>
  <si>
    <t>Руковалац црпне станице (ССС)</t>
  </si>
  <si>
    <t>О Б Р А Ђ И В А Ч И :</t>
  </si>
  <si>
    <t>Д И Р Е К Т О Р :</t>
  </si>
  <si>
    <t>Дејан Ковачевић, дипл. екон.</t>
  </si>
  <si>
    <t>Датум: 22.07.2020.год.</t>
  </si>
  <si>
    <t>Датум:22.07.2020.год.</t>
  </si>
  <si>
    <t xml:space="preserve">Датум:  22.07.2020.год.                                                                                                                                        </t>
  </si>
  <si>
    <t xml:space="preserve">Датум:  22.07.2020.год.                                                                                                                                   </t>
  </si>
</sst>
</file>

<file path=xl/styles.xml><?xml version="1.0" encoding="utf-8"?>
<styleSheet xmlns="http://schemas.openxmlformats.org/spreadsheetml/2006/main">
  <numFmts count="57">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dd/mm/yyyy/"/>
    <numFmt numFmtId="197" formatCode="###########"/>
    <numFmt numFmtId="198" formatCode="#,##0\ &quot;Din.&quot;"/>
    <numFmt numFmtId="199" formatCode="_-* #,##0.0\ _D_i_n_._-;\-* #,##0.0\ _D_i_n_._-;_-* &quot;-&quot;??\ _D_i_n_._-;_-@_-"/>
    <numFmt numFmtId="200" formatCode="_-* #,##0\ _D_i_n_._-;\-* #,##0\ _D_i_n_._-;_-* &quot;-&quot;??\ _D_i_n_._-;_-@_-"/>
    <numFmt numFmtId="201" formatCode="&quot;Yes&quot;;&quot;Yes&quot;;&quot;No&quot;"/>
    <numFmt numFmtId="202" formatCode="&quot;True&quot;;&quot;True&quot;;&quot;False&quot;"/>
    <numFmt numFmtId="203" formatCode="&quot;On&quot;;&quot;On&quot;;&quot;Off&quot;"/>
    <numFmt numFmtId="204" formatCode="[$€-2]\ #,##0.00_);[Red]\([$€-2]\ #,##0.00\)"/>
    <numFmt numFmtId="205" formatCode="[$-409]dddd\,\ mmmm\ dd\,\ yyyy"/>
    <numFmt numFmtId="206" formatCode="[$-409]h:mm:ss\ AM/PM"/>
    <numFmt numFmtId="207" formatCode="_-* #,##0.000\ _D_i_n_._-;\-* #,##0.000\ _D_i_n_._-;_-* &quot;-&quot;??\ _D_i_n_._-;_-@_-"/>
    <numFmt numFmtId="208" formatCode="_-* #,##0.0000\ _D_i_n_._-;\-* #,##0.0000\ _D_i_n_._-;_-* &quot;-&quot;??\ _D_i_n_._-;_-@_-"/>
    <numFmt numFmtId="209" formatCode="_-* #,##0.00000\ _D_i_n_._-;\-* #,##0.00000\ _D_i_n_._-;_-* &quot;-&quot;??\ _D_i_n_._-;_-@_-"/>
    <numFmt numFmtId="210" formatCode="&quot;$&quot;#,##0.00"/>
    <numFmt numFmtId="211" formatCode="&quot;$&quot;#,##0.00;[Red]&quot;$&quot;#,##0.00"/>
    <numFmt numFmtId="212" formatCode="0.00_);\(0.00\)"/>
  </numFmts>
  <fonts count="83">
    <font>
      <sz val="11"/>
      <color theme="1"/>
      <name val="Calibri"/>
      <family val="2"/>
    </font>
    <font>
      <sz val="11"/>
      <color indexed="8"/>
      <name val="Calibri"/>
      <family val="2"/>
    </font>
    <font>
      <sz val="12"/>
      <name val="Times New Roman"/>
      <family val="1"/>
    </font>
    <font>
      <b/>
      <sz val="12"/>
      <name val="Times New Roman"/>
      <family val="1"/>
    </font>
    <font>
      <b/>
      <sz val="10"/>
      <name val="Arial"/>
      <family val="2"/>
    </font>
    <font>
      <b/>
      <sz val="12"/>
      <name val="Arial"/>
      <family val="2"/>
    </font>
    <font>
      <b/>
      <sz val="22"/>
      <name val="Times New Roman"/>
      <family val="1"/>
    </font>
    <font>
      <b/>
      <sz val="18"/>
      <name val="Times New Roman"/>
      <family val="1"/>
    </font>
    <font>
      <b/>
      <sz val="14"/>
      <name val="Times New Roman"/>
      <family val="1"/>
    </font>
    <font>
      <sz val="14"/>
      <name val="Times New Roman"/>
      <family val="1"/>
    </font>
    <font>
      <b/>
      <i/>
      <sz val="12"/>
      <name val="Times New Roman"/>
      <family val="1"/>
    </font>
    <font>
      <sz val="16"/>
      <name val="Times New Roman"/>
      <family val="1"/>
    </font>
    <font>
      <b/>
      <sz val="12"/>
      <color indexed="8"/>
      <name val="Times New Roman"/>
      <family val="1"/>
    </font>
    <font>
      <sz val="12"/>
      <color indexed="8"/>
      <name val="Times New Roman"/>
      <family val="1"/>
    </font>
    <font>
      <b/>
      <sz val="16"/>
      <name val="Times New Roman"/>
      <family val="1"/>
    </font>
    <font>
      <sz val="10"/>
      <name val="Arial"/>
      <family val="2"/>
    </font>
    <font>
      <b/>
      <sz val="11"/>
      <name val="Times New Roman"/>
      <family val="1"/>
    </font>
    <font>
      <sz val="12"/>
      <name val="Arial"/>
      <family val="2"/>
    </font>
    <font>
      <sz val="10"/>
      <name val="Times New Roman"/>
      <family val="1"/>
    </font>
    <font>
      <b/>
      <sz val="10"/>
      <name val="Times New Roman"/>
      <family val="1"/>
    </font>
    <font>
      <sz val="16"/>
      <name val="Arial"/>
      <family val="2"/>
    </font>
    <font>
      <b/>
      <sz val="24"/>
      <name val="Times New Roman"/>
      <family val="1"/>
    </font>
    <font>
      <sz val="9"/>
      <name val="Times New Roman"/>
      <family val="1"/>
    </font>
    <font>
      <b/>
      <sz val="9"/>
      <name val="Times New Roman"/>
      <family val="1"/>
    </font>
    <font>
      <b/>
      <sz val="9"/>
      <color indexed="8"/>
      <name val="Times New Roman"/>
      <family val="1"/>
    </font>
    <font>
      <sz val="9"/>
      <color indexed="8"/>
      <name val="Times New Roman"/>
      <family val="1"/>
    </font>
    <font>
      <b/>
      <i/>
      <sz val="7"/>
      <name val="Times New Roman"/>
      <family val="1"/>
    </font>
    <font>
      <b/>
      <i/>
      <sz val="10"/>
      <name val="Times New Roman"/>
      <family val="1"/>
    </font>
    <font>
      <b/>
      <i/>
      <sz val="10"/>
      <name val="Arial"/>
      <family val="2"/>
    </font>
    <font>
      <vertAlign val="superscript"/>
      <sz val="12"/>
      <name val="Times New Roman"/>
      <family val="1"/>
    </font>
    <font>
      <sz val="14.4"/>
      <name val="Times New Roman"/>
      <family val="1"/>
    </font>
    <font>
      <sz val="9"/>
      <name val="Arial"/>
      <family val="2"/>
    </font>
    <font>
      <b/>
      <sz val="10"/>
      <color indexed="10"/>
      <name val="Arial"/>
      <family val="2"/>
    </font>
    <font>
      <sz val="12"/>
      <color indexed="10"/>
      <name val="Times New Roman"/>
      <family val="1"/>
    </font>
    <font>
      <b/>
      <sz val="8"/>
      <color indexed="10"/>
      <name val="Arial"/>
      <family val="2"/>
    </font>
    <font>
      <sz val="10"/>
      <color indexed="10"/>
      <name val="Arial"/>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6"/>
      <color indexed="8"/>
      <name val="Times New Roman"/>
      <family val="1"/>
    </font>
    <font>
      <sz val="11"/>
      <name val="Calibri"/>
      <family val="2"/>
    </font>
    <font>
      <sz val="10"/>
      <color indexed="29"/>
      <name val="Arial"/>
      <family val="2"/>
    </font>
    <font>
      <b/>
      <i/>
      <sz val="10"/>
      <color indexed="9"/>
      <name val="Times New Roman"/>
      <family val="1"/>
    </font>
    <font>
      <sz val="10"/>
      <color indexed="9"/>
      <name val="Arial"/>
      <family val="2"/>
    </font>
    <font>
      <b/>
      <sz val="12"/>
      <color indexed="9"/>
      <name val="Times New Roman"/>
      <family val="1"/>
    </font>
    <font>
      <sz val="12"/>
      <color indexed="9"/>
      <name val="Times New Roman"/>
      <family val="1"/>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1"/>
      <name val="Times New Roman"/>
      <family val="1"/>
    </font>
    <font>
      <b/>
      <sz val="12"/>
      <color theme="1"/>
      <name val="Times New Roman"/>
      <family val="1"/>
    </font>
    <font>
      <b/>
      <sz val="16"/>
      <color theme="1"/>
      <name val="Times New Roman"/>
      <family val="1"/>
    </font>
    <font>
      <sz val="10"/>
      <color theme="5" tint="0.39998000860214233"/>
      <name val="Arial"/>
      <family val="2"/>
    </font>
    <font>
      <b/>
      <i/>
      <sz val="10"/>
      <color theme="0"/>
      <name val="Times New Roman"/>
      <family val="1"/>
    </font>
    <font>
      <sz val="10"/>
      <color theme="0"/>
      <name val="Arial"/>
      <family val="2"/>
    </font>
    <font>
      <b/>
      <sz val="12"/>
      <color theme="0"/>
      <name val="Times New Roman"/>
      <family val="1"/>
    </font>
    <font>
      <sz val="12"/>
      <color theme="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theme="1" tint="0.15000000596046448"/>
        <bgColor indexed="64"/>
      </patternFill>
    </fill>
  </fills>
  <borders count="158">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thin">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style="medium">
        <color indexed="8"/>
      </bottom>
    </border>
    <border>
      <left>
        <color indexed="63"/>
      </left>
      <right style="thin"/>
      <top style="thin"/>
      <bottom style="thin"/>
    </border>
    <border>
      <left>
        <color indexed="63"/>
      </left>
      <right>
        <color indexed="63"/>
      </right>
      <top style="thin"/>
      <bottom>
        <color indexed="63"/>
      </bottom>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style="thin">
        <color indexed="8"/>
      </left>
      <right style="medium">
        <color indexed="8"/>
      </right>
      <top>
        <color indexed="63"/>
      </top>
      <bottom>
        <color indexed="63"/>
      </bottom>
    </border>
    <border>
      <left style="thin">
        <color indexed="8"/>
      </left>
      <right>
        <color indexed="63"/>
      </right>
      <top style="thin"/>
      <bottom style="medium">
        <color indexed="8"/>
      </bottom>
    </border>
    <border>
      <left style="thin"/>
      <right style="thin"/>
      <top>
        <color indexed="63"/>
      </top>
      <bottom style="thin"/>
    </border>
    <border>
      <left style="medium">
        <color indexed="8"/>
      </left>
      <right>
        <color indexed="63"/>
      </right>
      <top>
        <color indexed="63"/>
      </top>
      <bottom style="medium">
        <color indexed="8"/>
      </bottom>
    </border>
    <border>
      <left style="thin">
        <color indexed="8"/>
      </left>
      <right>
        <color indexed="63"/>
      </right>
      <top>
        <color indexed="63"/>
      </top>
      <bottom>
        <color indexed="63"/>
      </bottom>
    </border>
    <border>
      <left>
        <color indexed="63"/>
      </left>
      <right>
        <color indexed="63"/>
      </right>
      <top>
        <color indexed="63"/>
      </top>
      <bottom style="thin"/>
    </border>
    <border>
      <left style="thin">
        <color indexed="8"/>
      </left>
      <right style="thin">
        <color indexed="8"/>
      </right>
      <top style="thin"/>
      <bottom style="medium"/>
    </border>
    <border>
      <left style="medium"/>
      <right style="thin"/>
      <top style="thick"/>
      <bottom style="medium"/>
    </border>
    <border>
      <left style="thin"/>
      <right style="medium"/>
      <top style="thick"/>
      <bottom style="medium"/>
    </border>
    <border>
      <left>
        <color indexed="63"/>
      </left>
      <right>
        <color indexed="63"/>
      </right>
      <top style="thick"/>
      <bottom style="medium"/>
    </border>
    <border>
      <left style="thin"/>
      <right>
        <color indexed="63"/>
      </right>
      <top style="thick"/>
      <bottom style="medium"/>
    </border>
    <border>
      <left style="medium"/>
      <right>
        <color indexed="63"/>
      </right>
      <top style="thick"/>
      <bottom style="medium"/>
    </border>
    <border>
      <left>
        <color indexed="63"/>
      </left>
      <right style="medium"/>
      <top style="thick"/>
      <bottom style="medium"/>
    </border>
    <border>
      <left style="thin"/>
      <right style="thick"/>
      <top style="thick"/>
      <bottom style="medium"/>
    </border>
    <border>
      <left style="thick"/>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medium"/>
      <bottom style="thin"/>
    </border>
    <border>
      <left style="thin"/>
      <right style="thick"/>
      <top style="medium"/>
      <bottom style="thin"/>
    </border>
    <border>
      <left style="medium"/>
      <right style="thin"/>
      <top style="thin"/>
      <bottom style="medium"/>
    </border>
    <border>
      <left style="thin"/>
      <right style="medium"/>
      <top style="thin"/>
      <bottom style="medium"/>
    </border>
    <border>
      <left>
        <color indexed="63"/>
      </left>
      <right>
        <color indexed="63"/>
      </right>
      <top style="thin"/>
      <bottom style="medium"/>
    </border>
    <border>
      <left style="thin"/>
      <right>
        <color indexed="63"/>
      </right>
      <top style="thin"/>
      <bottom style="medium"/>
    </border>
    <border>
      <left style="medium"/>
      <right>
        <color indexed="63"/>
      </right>
      <top style="thin"/>
      <bottom style="medium"/>
    </border>
    <border>
      <left style="thin"/>
      <right style="thick"/>
      <top style="thin"/>
      <bottom style="medium"/>
    </border>
    <border>
      <left style="thick"/>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hair"/>
    </border>
    <border>
      <left style="thin"/>
      <right style="thick"/>
      <top>
        <color indexed="63"/>
      </top>
      <bottom style="hair"/>
    </border>
    <border>
      <left style="thick"/>
      <right>
        <color indexed="63"/>
      </right>
      <top style="hair"/>
      <bottom style="hair"/>
    </border>
    <border>
      <left>
        <color indexed="63"/>
      </left>
      <right>
        <color indexed="63"/>
      </right>
      <top style="hair"/>
      <bottom style="hair"/>
    </border>
    <border>
      <left style="medium"/>
      <right style="thin"/>
      <top style="hair"/>
      <bottom style="hair"/>
    </border>
    <border>
      <left style="thin"/>
      <right style="medium"/>
      <top style="hair"/>
      <bottom style="hair"/>
    </border>
    <border>
      <left style="thin"/>
      <right>
        <color indexed="63"/>
      </right>
      <top style="hair"/>
      <bottom style="hair"/>
    </border>
    <border>
      <left style="medium"/>
      <right>
        <color indexed="63"/>
      </right>
      <top style="hair"/>
      <bottom style="hair"/>
    </border>
    <border>
      <left style="thin"/>
      <right style="thick"/>
      <top style="hair"/>
      <bottom style="hair"/>
    </border>
    <border>
      <left>
        <color indexed="63"/>
      </left>
      <right style="medium"/>
      <top style="hair"/>
      <bottom style="hair"/>
    </border>
    <border>
      <left>
        <color indexed="63"/>
      </left>
      <right style="thin"/>
      <top style="hair"/>
      <bottom style="hair"/>
    </border>
    <border>
      <left style="medium"/>
      <right style="thin"/>
      <top style="hair"/>
      <bottom>
        <color indexed="63"/>
      </bottom>
    </border>
    <border>
      <left style="thin"/>
      <right style="medium"/>
      <top style="hair"/>
      <bottom>
        <color indexed="63"/>
      </bottom>
    </border>
    <border>
      <left>
        <color indexed="63"/>
      </left>
      <right style="thin"/>
      <top style="hair"/>
      <bottom style="thin"/>
    </border>
    <border>
      <left style="thin"/>
      <right>
        <color indexed="63"/>
      </right>
      <top style="hair"/>
      <bottom>
        <color indexed="63"/>
      </bottom>
    </border>
    <border>
      <left style="medium"/>
      <right>
        <color indexed="63"/>
      </right>
      <top style="hair"/>
      <bottom>
        <color indexed="63"/>
      </bottom>
    </border>
    <border>
      <left>
        <color indexed="63"/>
      </left>
      <right>
        <color indexed="63"/>
      </right>
      <top style="hair"/>
      <bottom>
        <color indexed="63"/>
      </bottom>
    </border>
    <border>
      <left style="thin"/>
      <right style="thick"/>
      <top style="hair"/>
      <bottom>
        <color indexed="63"/>
      </bottom>
    </border>
    <border>
      <left>
        <color indexed="63"/>
      </left>
      <right>
        <color indexed="63"/>
      </right>
      <top>
        <color indexed="63"/>
      </top>
      <bottom style="hair"/>
    </border>
    <border>
      <left style="medium"/>
      <right style="thin"/>
      <top>
        <color indexed="63"/>
      </top>
      <bottom style="hair"/>
    </border>
    <border>
      <left style="thin"/>
      <right style="medium"/>
      <top>
        <color indexed="63"/>
      </top>
      <bottom style="hair"/>
    </border>
    <border>
      <left style="thin"/>
      <right>
        <color indexed="63"/>
      </right>
      <top>
        <color indexed="63"/>
      </top>
      <bottom style="hair"/>
    </border>
    <border>
      <left>
        <color indexed="63"/>
      </left>
      <right style="medium"/>
      <top style="thin"/>
      <bottom style="medium"/>
    </border>
    <border>
      <left style="hair"/>
      <right style="medium"/>
      <top style="hair"/>
      <bottom style="hair"/>
    </border>
    <border>
      <left style="thick"/>
      <right>
        <color indexed="63"/>
      </right>
      <top style="hair"/>
      <bottom>
        <color indexed="63"/>
      </bottom>
    </border>
    <border>
      <left>
        <color indexed="63"/>
      </left>
      <right style="thin"/>
      <top style="hair"/>
      <bottom>
        <color indexed="63"/>
      </bottom>
    </border>
    <border>
      <left style="medium"/>
      <right style="hair"/>
      <top style="hair"/>
      <bottom style="hair"/>
    </border>
    <border>
      <left>
        <color indexed="63"/>
      </left>
      <right style="thin"/>
      <top>
        <color indexed="63"/>
      </top>
      <bottom>
        <color indexed="63"/>
      </bottom>
    </border>
    <border>
      <left style="thin"/>
      <right style="thick"/>
      <top>
        <color indexed="63"/>
      </top>
      <bottom>
        <color indexed="63"/>
      </bottom>
    </border>
    <border>
      <left>
        <color indexed="63"/>
      </left>
      <right style="thin"/>
      <top style="thin"/>
      <bottom style="medium"/>
    </border>
    <border>
      <left>
        <color indexed="63"/>
      </left>
      <right style="thin"/>
      <top>
        <color indexed="63"/>
      </top>
      <bottom style="hair"/>
    </border>
    <border>
      <left style="thick"/>
      <right>
        <color indexed="63"/>
      </right>
      <top>
        <color indexed="63"/>
      </top>
      <bottom style="hair"/>
    </border>
    <border>
      <left style="hair"/>
      <right style="medium"/>
      <top style="hair"/>
      <bottom>
        <color indexed="63"/>
      </bottom>
    </border>
    <border>
      <left style="thick"/>
      <right>
        <color indexed="63"/>
      </right>
      <top>
        <color indexed="63"/>
      </top>
      <bottom style="thick"/>
    </border>
    <border>
      <left>
        <color indexed="63"/>
      </left>
      <right>
        <color indexed="63"/>
      </right>
      <top>
        <color indexed="63"/>
      </top>
      <bottom style="thick"/>
    </border>
    <border>
      <left style="medium"/>
      <right style="thin"/>
      <top>
        <color indexed="63"/>
      </top>
      <bottom style="thick"/>
    </border>
    <border>
      <left style="thin"/>
      <right style="medium"/>
      <top>
        <color indexed="63"/>
      </top>
      <bottom style="thick"/>
    </border>
    <border>
      <left>
        <color indexed="63"/>
      </left>
      <right style="thin"/>
      <top>
        <color indexed="63"/>
      </top>
      <bottom style="thick"/>
    </border>
    <border>
      <left style="thin"/>
      <right>
        <color indexed="63"/>
      </right>
      <top>
        <color indexed="63"/>
      </top>
      <bottom style="thick"/>
    </border>
    <border>
      <left style="medium"/>
      <right>
        <color indexed="63"/>
      </right>
      <top>
        <color indexed="63"/>
      </top>
      <bottom style="thick"/>
    </border>
    <border>
      <left style="thin"/>
      <right style="thick"/>
      <top>
        <color indexed="63"/>
      </top>
      <bottom style="thick"/>
    </border>
    <border>
      <left style="thin">
        <color indexed="8"/>
      </left>
      <right>
        <color indexed="63"/>
      </right>
      <top style="medium">
        <color indexed="8"/>
      </top>
      <bottom style="thin">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ck"/>
      <right>
        <color indexed="63"/>
      </right>
      <top style="thin"/>
      <bottom style="medium"/>
    </border>
    <border>
      <left style="thick"/>
      <right>
        <color indexed="63"/>
      </right>
      <top style="thick"/>
      <bottom style="medium"/>
    </border>
    <border>
      <left style="medium">
        <color indexed="8"/>
      </left>
      <right style="medium">
        <color indexed="8"/>
      </right>
      <top style="medium">
        <color indexed="8"/>
      </top>
      <bottom>
        <color indexed="63"/>
      </bottom>
    </border>
    <border diagonalUp="1">
      <left style="medium">
        <color indexed="8"/>
      </left>
      <right style="thin">
        <color indexed="8"/>
      </right>
      <top style="medium">
        <color indexed="8"/>
      </top>
      <bottom style="medium">
        <color indexed="8"/>
      </bottom>
      <diagonal style="thin">
        <color indexed="8"/>
      </diagonal>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right style="thin"/>
      <top style="medium"/>
      <bottom style="medium"/>
    </border>
    <border>
      <left style="thin"/>
      <right style="medium"/>
      <top style="medium"/>
      <bottom style="medium"/>
    </border>
    <border>
      <left>
        <color indexed="63"/>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0" fillId="26" borderId="1" applyNumberFormat="0" applyFont="0" applyAlignment="0" applyProtection="0"/>
    <xf numFmtId="0" fontId="60" fillId="27" borderId="2" applyNumberFormat="0" applyAlignment="0" applyProtection="0"/>
    <xf numFmtId="0" fontId="61" fillId="28" borderId="0" applyNumberFormat="0" applyBorder="0" applyAlignment="0" applyProtection="0"/>
    <xf numFmtId="0" fontId="62" fillId="29" borderId="3" applyNumberFormat="0" applyAlignment="0" applyProtection="0"/>
    <xf numFmtId="0" fontId="63" fillId="29" borderId="4" applyNumberFormat="0" applyAlignment="0" applyProtection="0"/>
    <xf numFmtId="0" fontId="64" fillId="30"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1" borderId="0" applyNumberFormat="0" applyBorder="0" applyAlignment="0" applyProtection="0"/>
    <xf numFmtId="0" fontId="15" fillId="0" borderId="0">
      <alignment/>
      <protection/>
    </xf>
    <xf numFmtId="0" fontId="0" fillId="0" borderId="0">
      <alignment/>
      <protection/>
    </xf>
    <xf numFmtId="0" fontId="70" fillId="0" borderId="8" applyNumberFormat="0" applyFill="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32" borderId="4"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901">
    <xf numFmtId="0" fontId="0" fillId="0" borderId="0" xfId="0" applyFont="1" applyAlignment="1">
      <alignment/>
    </xf>
    <xf numFmtId="0" fontId="2" fillId="0" borderId="0" xfId="0" applyFont="1" applyAlignment="1">
      <alignment/>
    </xf>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3" fontId="5" fillId="0" borderId="0" xfId="0" applyNumberFormat="1" applyFont="1" applyAlignment="1">
      <alignment horizontal="center"/>
    </xf>
    <xf numFmtId="3" fontId="3" fillId="0" borderId="0" xfId="0" applyNumberFormat="1" applyFont="1" applyFill="1" applyAlignment="1">
      <alignment horizontal="center"/>
    </xf>
    <xf numFmtId="0" fontId="3" fillId="0" borderId="0" xfId="0" applyFont="1" applyFill="1" applyAlignment="1">
      <alignment horizontal="center"/>
    </xf>
    <xf numFmtId="0" fontId="7" fillId="0" borderId="0" xfId="0" applyFont="1" applyAlignment="1">
      <alignment horizont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3" fontId="3"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Fill="1" applyBorder="1" applyAlignment="1">
      <alignment horizontal="center" wrapText="1"/>
    </xf>
    <xf numFmtId="0" fontId="8" fillId="0" borderId="16" xfId="0" applyFont="1" applyFill="1" applyBorder="1" applyAlignment="1">
      <alignment wrapText="1"/>
    </xf>
    <xf numFmtId="0" fontId="3" fillId="0" borderId="16" xfId="0" applyFont="1" applyFill="1" applyBorder="1" applyAlignment="1">
      <alignment horizontal="center" wrapText="1"/>
    </xf>
    <xf numFmtId="3" fontId="3" fillId="0" borderId="16"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0" fontId="3" fillId="33" borderId="15" xfId="0" applyFont="1" applyFill="1" applyBorder="1" applyAlignment="1">
      <alignment horizontal="center" wrapText="1"/>
    </xf>
    <xf numFmtId="0" fontId="8" fillId="33" borderId="16" xfId="0" applyFont="1" applyFill="1" applyBorder="1" applyAlignment="1">
      <alignment wrapText="1"/>
    </xf>
    <xf numFmtId="0" fontId="3" fillId="33" borderId="16" xfId="0" applyFont="1" applyFill="1" applyBorder="1" applyAlignment="1">
      <alignment horizontal="center" wrapText="1"/>
    </xf>
    <xf numFmtId="3" fontId="3" fillId="0" borderId="16" xfId="0" applyNumberFormat="1" applyFont="1" applyFill="1" applyBorder="1" applyAlignment="1">
      <alignment horizontal="center" vertical="center" wrapText="1"/>
    </xf>
    <xf numFmtId="0" fontId="2" fillId="0" borderId="15" xfId="0" applyFont="1" applyFill="1" applyBorder="1" applyAlignment="1">
      <alignment horizontal="center" wrapText="1"/>
    </xf>
    <xf numFmtId="0" fontId="9" fillId="0" borderId="16" xfId="0" applyFont="1" applyFill="1" applyBorder="1" applyAlignment="1">
      <alignment wrapText="1"/>
    </xf>
    <xf numFmtId="0" fontId="2" fillId="0" borderId="16" xfId="0" applyFont="1" applyFill="1" applyBorder="1" applyAlignment="1">
      <alignment horizontal="center" wrapText="1"/>
    </xf>
    <xf numFmtId="3" fontId="10" fillId="0" borderId="16" xfId="0" applyNumberFormat="1" applyFont="1" applyFill="1" applyBorder="1" applyAlignment="1">
      <alignment horizontal="center" vertical="center" wrapText="1"/>
    </xf>
    <xf numFmtId="0" fontId="9" fillId="0" borderId="0" xfId="0" applyFont="1" applyAlignment="1">
      <alignment horizontal="left" vertical="center" wrapText="1"/>
    </xf>
    <xf numFmtId="3" fontId="3" fillId="33" borderId="16" xfId="0" applyNumberFormat="1" applyFont="1" applyFill="1" applyBorder="1" applyAlignment="1">
      <alignment horizontal="center" vertical="center" wrapText="1"/>
    </xf>
    <xf numFmtId="0" fontId="2" fillId="34" borderId="16" xfId="0" applyFont="1" applyFill="1" applyBorder="1" applyAlignment="1">
      <alignment horizontal="center" wrapText="1"/>
    </xf>
    <xf numFmtId="3" fontId="3" fillId="0" borderId="16" xfId="0" applyNumberFormat="1" applyFont="1" applyBorder="1" applyAlignment="1">
      <alignment horizontal="center"/>
    </xf>
    <xf numFmtId="0" fontId="3" fillId="34" borderId="16" xfId="0" applyFont="1" applyFill="1" applyBorder="1" applyAlignment="1">
      <alignment horizontal="center" wrapText="1"/>
    </xf>
    <xf numFmtId="3" fontId="3" fillId="0" borderId="16" xfId="0" applyNumberFormat="1" applyFont="1" applyBorder="1" applyAlignment="1">
      <alignment horizontal="center" vertical="center"/>
    </xf>
    <xf numFmtId="0" fontId="2" fillId="34" borderId="15" xfId="0" applyFont="1" applyFill="1" applyBorder="1" applyAlignment="1">
      <alignment horizontal="center" wrapText="1"/>
    </xf>
    <xf numFmtId="0" fontId="9" fillId="34" borderId="16" xfId="0" applyFont="1" applyFill="1" applyBorder="1" applyAlignment="1">
      <alignment wrapText="1"/>
    </xf>
    <xf numFmtId="0" fontId="3" fillId="33" borderId="15" xfId="0" applyFont="1" applyFill="1" applyBorder="1" applyAlignment="1">
      <alignment wrapText="1"/>
    </xf>
    <xf numFmtId="0" fontId="8" fillId="33" borderId="16" xfId="0" applyFont="1" applyFill="1" applyBorder="1" applyAlignment="1">
      <alignment horizontal="left" wrapText="1"/>
    </xf>
    <xf numFmtId="0" fontId="9" fillId="0" borderId="16" xfId="0" applyFont="1" applyFill="1" applyBorder="1" applyAlignment="1">
      <alignment horizontal="left" wrapText="1"/>
    </xf>
    <xf numFmtId="0" fontId="2" fillId="0" borderId="15" xfId="0" applyFont="1" applyFill="1" applyBorder="1" applyAlignment="1">
      <alignment wrapText="1"/>
    </xf>
    <xf numFmtId="0" fontId="2" fillId="0" borderId="18" xfId="0" applyFont="1" applyFill="1" applyBorder="1" applyAlignment="1">
      <alignment wrapText="1"/>
    </xf>
    <xf numFmtId="0" fontId="9" fillId="0" borderId="10" xfId="0" applyFont="1" applyFill="1" applyBorder="1" applyAlignment="1">
      <alignment horizontal="left" wrapText="1"/>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3" fillId="0" borderId="19" xfId="0" applyFont="1" applyBorder="1" applyAlignment="1">
      <alignment horizontal="center"/>
    </xf>
    <xf numFmtId="0" fontId="8" fillId="0" borderId="0" xfId="0" applyFont="1" applyBorder="1" applyAlignment="1">
      <alignment horizontal="center"/>
    </xf>
    <xf numFmtId="3" fontId="3" fillId="0" borderId="0" xfId="0" applyNumberFormat="1" applyFont="1" applyBorder="1" applyAlignment="1">
      <alignment horizontal="center" vertical="center" wrapText="1"/>
    </xf>
    <xf numFmtId="0" fontId="8" fillId="0" borderId="0" xfId="0" applyFont="1" applyAlignment="1">
      <alignment horizontal="center"/>
    </xf>
    <xf numFmtId="0" fontId="8" fillId="0" borderId="0" xfId="0" applyFont="1" applyBorder="1" applyAlignment="1">
      <alignment horizontal="center" vertical="center" wrapText="1"/>
    </xf>
    <xf numFmtId="0" fontId="9" fillId="0" borderId="0" xfId="0" applyFont="1" applyBorder="1" applyAlignment="1">
      <alignment horizontal="center"/>
    </xf>
    <xf numFmtId="0" fontId="8" fillId="0" borderId="0" xfId="0" applyFont="1" applyAlignment="1">
      <alignment/>
    </xf>
    <xf numFmtId="0" fontId="2" fillId="0" borderId="0" xfId="0" applyFont="1" applyAlignment="1">
      <alignment vertical="center"/>
    </xf>
    <xf numFmtId="0" fontId="2" fillId="0" borderId="0" xfId="0" applyFont="1" applyAlignment="1">
      <alignment horizontal="center"/>
    </xf>
    <xf numFmtId="196" fontId="3" fillId="0" borderId="0" xfId="0" applyNumberFormat="1" applyFont="1" applyBorder="1" applyAlignment="1">
      <alignment horizontal="center" vertical="center" wrapText="1"/>
    </xf>
    <xf numFmtId="196" fontId="3" fillId="0" borderId="0" xfId="0" applyNumberFormat="1" applyFont="1" applyAlignment="1">
      <alignment horizontal="center" vertical="center"/>
    </xf>
    <xf numFmtId="0" fontId="9" fillId="0" borderId="12" xfId="0" applyFont="1" applyFill="1" applyBorder="1" applyAlignment="1">
      <alignment horizontal="center" vertical="center"/>
    </xf>
    <xf numFmtId="0" fontId="8" fillId="0" borderId="13" xfId="0" applyFont="1" applyFill="1" applyBorder="1" applyAlignment="1">
      <alignment vertical="center" wrapText="1"/>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8" fillId="0" borderId="16" xfId="0" applyFont="1" applyFill="1" applyBorder="1" applyAlignment="1">
      <alignment vertical="center" wrapText="1"/>
    </xf>
    <xf numFmtId="49" fontId="9" fillId="0" borderId="16" xfId="0" applyNumberFormat="1" applyFont="1" applyFill="1" applyBorder="1" applyAlignment="1">
      <alignment horizontal="center" vertical="center"/>
    </xf>
    <xf numFmtId="0" fontId="9" fillId="0" borderId="16" xfId="0" applyFont="1" applyFill="1" applyBorder="1" applyAlignment="1">
      <alignment vertical="center" wrapText="1"/>
    </xf>
    <xf numFmtId="0" fontId="9" fillId="0" borderId="15"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5" xfId="0" applyFont="1" applyFill="1" applyBorder="1" applyAlignment="1">
      <alignment horizontal="center" vertical="center" wrapText="1"/>
    </xf>
    <xf numFmtId="0" fontId="9" fillId="0" borderId="16" xfId="0" applyFont="1" applyFill="1" applyBorder="1" applyAlignment="1">
      <alignment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0" xfId="0" applyFont="1" applyFill="1" applyBorder="1" applyAlignment="1">
      <alignment vertical="center" wrapText="1"/>
    </xf>
    <xf numFmtId="49" fontId="9" fillId="0" borderId="1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9"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4" fontId="3" fillId="0" borderId="0" xfId="0" applyNumberFormat="1" applyFont="1" applyAlignment="1">
      <alignment horizontal="right"/>
    </xf>
    <xf numFmtId="0" fontId="2" fillId="0" borderId="0" xfId="0" applyFont="1" applyAlignment="1">
      <alignment vertical="center"/>
    </xf>
    <xf numFmtId="4" fontId="2" fillId="0" borderId="0" xfId="0" applyNumberFormat="1" applyFont="1" applyAlignment="1">
      <alignment/>
    </xf>
    <xf numFmtId="4" fontId="11" fillId="0" borderId="0" xfId="0" applyNumberFormat="1" applyFont="1" applyAlignment="1">
      <alignment horizontal="righ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Border="1" applyAlignment="1">
      <alignment vertical="center" wrapText="1"/>
    </xf>
    <xf numFmtId="0" fontId="13" fillId="0" borderId="13" xfId="0" applyFont="1" applyBorder="1" applyAlignment="1">
      <alignment horizontal="center" vertical="center" wrapText="1"/>
    </xf>
    <xf numFmtId="3"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12" fillId="0" borderId="15" xfId="0" applyFont="1" applyBorder="1" applyAlignment="1">
      <alignment vertical="center" wrapText="1"/>
    </xf>
    <xf numFmtId="0" fontId="13" fillId="0" borderId="16" xfId="0" applyFont="1" applyBorder="1" applyAlignment="1">
      <alignment horizontal="center" vertical="center" wrapText="1"/>
    </xf>
    <xf numFmtId="3" fontId="2" fillId="0" borderId="16" xfId="0" applyNumberFormat="1" applyFont="1" applyBorder="1" applyAlignment="1">
      <alignment horizontal="center" wrapText="1"/>
    </xf>
    <xf numFmtId="0" fontId="13" fillId="0" borderId="15" xfId="0" applyFont="1" applyBorder="1" applyAlignment="1">
      <alignment vertical="center" wrapText="1"/>
    </xf>
    <xf numFmtId="0" fontId="2" fillId="0" borderId="20" xfId="0" applyFont="1" applyBorder="1" applyAlignment="1">
      <alignment horizontal="center" vertical="center" wrapText="1"/>
    </xf>
    <xf numFmtId="3" fontId="2" fillId="0" borderId="16" xfId="0" applyNumberFormat="1" applyFont="1" applyBorder="1" applyAlignment="1">
      <alignment horizontal="center"/>
    </xf>
    <xf numFmtId="0" fontId="2" fillId="0" borderId="18" xfId="0" applyFont="1" applyBorder="1" applyAlignment="1">
      <alignment horizontal="center" vertical="center" wrapText="1"/>
    </xf>
    <xf numFmtId="0" fontId="12" fillId="0" borderId="18" xfId="0" applyFont="1" applyBorder="1" applyAlignment="1">
      <alignment vertical="center" wrapText="1"/>
    </xf>
    <xf numFmtId="0" fontId="13" fillId="0" borderId="10" xfId="0" applyFont="1" applyBorder="1" applyAlignment="1">
      <alignment horizontal="center" vertical="center" wrapText="1"/>
    </xf>
    <xf numFmtId="3" fontId="2" fillId="0" borderId="10" xfId="0" applyNumberFormat="1" applyFont="1" applyBorder="1" applyAlignment="1">
      <alignment horizontal="center"/>
    </xf>
    <xf numFmtId="3" fontId="2" fillId="0" borderId="0" xfId="0" applyNumberFormat="1" applyFont="1" applyAlignment="1">
      <alignment horizontal="center"/>
    </xf>
    <xf numFmtId="4" fontId="3" fillId="0" borderId="0" xfId="0" applyNumberFormat="1" applyFont="1" applyAlignment="1">
      <alignment horizontal="center"/>
    </xf>
    <xf numFmtId="3" fontId="0" fillId="0" borderId="0" xfId="0" applyNumberFormat="1" applyAlignment="1">
      <alignment horizontal="center"/>
    </xf>
    <xf numFmtId="0" fontId="0" fillId="0" borderId="0" xfId="0" applyAlignment="1">
      <alignment horizontal="center"/>
    </xf>
    <xf numFmtId="4" fontId="0" fillId="0" borderId="0" xfId="0" applyNumberFormat="1" applyAlignment="1">
      <alignment horizontal="center"/>
    </xf>
    <xf numFmtId="4" fontId="9" fillId="0" borderId="0" xfId="0" applyNumberFormat="1" applyFont="1" applyAlignment="1">
      <alignment horizontal="center"/>
    </xf>
    <xf numFmtId="0" fontId="16" fillId="0" borderId="10" xfId="0" applyFont="1" applyFill="1" applyBorder="1" applyAlignment="1">
      <alignment horizontal="center" vertical="center" wrapText="1"/>
    </xf>
    <xf numFmtId="49" fontId="9" fillId="34" borderId="12" xfId="51" applyNumberFormat="1" applyFont="1" applyFill="1" applyBorder="1" applyAlignment="1">
      <alignment horizontal="center"/>
      <protection/>
    </xf>
    <xf numFmtId="0" fontId="9" fillId="34" borderId="13" xfId="51" applyFont="1" applyFill="1" applyBorder="1" applyAlignment="1">
      <alignment horizontal="left" vertical="center" wrapText="1"/>
      <protection/>
    </xf>
    <xf numFmtId="3" fontId="9" fillId="0" borderId="13" xfId="0" applyNumberFormat="1" applyFont="1" applyBorder="1" applyAlignment="1">
      <alignment horizontal="center" vertical="center" wrapText="1"/>
    </xf>
    <xf numFmtId="4" fontId="9" fillId="0" borderId="14" xfId="0" applyNumberFormat="1" applyFont="1" applyBorder="1" applyAlignment="1">
      <alignment horizontal="center" vertical="center" wrapText="1"/>
    </xf>
    <xf numFmtId="49" fontId="9" fillId="34" borderId="15" xfId="51" applyNumberFormat="1" applyFont="1" applyFill="1" applyBorder="1" applyAlignment="1">
      <alignment horizontal="center"/>
      <protection/>
    </xf>
    <xf numFmtId="0" fontId="9" fillId="34" borderId="16" xfId="51" applyFont="1" applyFill="1" applyBorder="1" applyAlignment="1">
      <alignment horizontal="left" vertical="center" wrapText="1"/>
      <protection/>
    </xf>
    <xf numFmtId="3" fontId="9" fillId="0" borderId="16" xfId="0" applyNumberFormat="1" applyFont="1" applyBorder="1" applyAlignment="1">
      <alignment horizontal="center" vertical="center" wrapText="1"/>
    </xf>
    <xf numFmtId="49" fontId="9" fillId="34" borderId="16" xfId="51" applyNumberFormat="1" applyFont="1" applyFill="1" applyBorder="1" applyAlignment="1">
      <alignment horizontal="center" vertical="center" wrapText="1"/>
      <protection/>
    </xf>
    <xf numFmtId="0" fontId="9" fillId="34" borderId="16" xfId="51" applyFont="1" applyFill="1" applyBorder="1" applyAlignment="1">
      <alignment/>
      <protection/>
    </xf>
    <xf numFmtId="3" fontId="9" fillId="0" borderId="16" xfId="0" applyNumberFormat="1" applyFont="1" applyBorder="1" applyAlignment="1">
      <alignment horizontal="center" vertical="center"/>
    </xf>
    <xf numFmtId="0" fontId="9" fillId="34" borderId="16" xfId="51" applyFont="1" applyFill="1" applyBorder="1" applyAlignment="1">
      <alignment horizontal="left" wrapText="1"/>
      <protection/>
    </xf>
    <xf numFmtId="0" fontId="9" fillId="34" borderId="16" xfId="51" applyFont="1" applyFill="1" applyBorder="1" applyAlignment="1">
      <alignment wrapText="1"/>
      <protection/>
    </xf>
    <xf numFmtId="3" fontId="9" fillId="0" borderId="16" xfId="0" applyNumberFormat="1" applyFont="1" applyFill="1" applyBorder="1" applyAlignment="1">
      <alignment horizontal="center" vertical="center" wrapText="1"/>
    </xf>
    <xf numFmtId="49" fontId="9" fillId="34" borderId="15" xfId="51" applyNumberFormat="1" applyFont="1" applyFill="1" applyBorder="1" applyAlignment="1">
      <alignment horizontal="center" vertical="center"/>
      <protection/>
    </xf>
    <xf numFmtId="0" fontId="9" fillId="34" borderId="10" xfId="51" applyFont="1" applyFill="1" applyBorder="1" applyAlignment="1">
      <alignment horizontal="left" wrapText="1"/>
      <protection/>
    </xf>
    <xf numFmtId="3" fontId="9" fillId="0" borderId="10"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3" fontId="9" fillId="0" borderId="0" xfId="0" applyNumberFormat="1" applyFont="1" applyBorder="1" applyAlignment="1">
      <alignment horizontal="center" vertical="center" wrapText="1"/>
    </xf>
    <xf numFmtId="4" fontId="9"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3" fontId="2"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2" fillId="0" borderId="0" xfId="0" applyNumberFormat="1" applyFont="1" applyAlignment="1">
      <alignment horizontal="center"/>
    </xf>
    <xf numFmtId="0" fontId="3"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xf>
    <xf numFmtId="0" fontId="17" fillId="0" borderId="0" xfId="0" applyFont="1" applyAlignment="1">
      <alignment/>
    </xf>
    <xf numFmtId="0" fontId="2" fillId="0" borderId="0" xfId="0" applyFont="1" applyAlignment="1">
      <alignment horizontal="right"/>
    </xf>
    <xf numFmtId="0" fontId="3" fillId="0" borderId="15" xfId="0" applyFont="1" applyBorder="1" applyAlignment="1">
      <alignmen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wrapText="1"/>
    </xf>
    <xf numFmtId="0" fontId="3" fillId="0" borderId="15" xfId="0" applyFont="1" applyBorder="1" applyAlignment="1">
      <alignment horizontal="center" vertical="center" wrapText="1"/>
    </xf>
    <xf numFmtId="0" fontId="2" fillId="0" borderId="15" xfId="0" applyFont="1" applyBorder="1" applyAlignment="1">
      <alignment horizontal="left" vertical="center"/>
    </xf>
    <xf numFmtId="3" fontId="2" fillId="0" borderId="16" xfId="0" applyNumberFormat="1" applyFont="1" applyBorder="1" applyAlignment="1">
      <alignment horizontal="center" vertical="center" wrapText="1"/>
    </xf>
    <xf numFmtId="3" fontId="2" fillId="0" borderId="16" xfId="0" applyNumberFormat="1" applyFont="1" applyFill="1" applyBorder="1" applyAlignment="1">
      <alignment horizontal="center" vertical="center" wrapText="1"/>
    </xf>
    <xf numFmtId="0" fontId="2" fillId="0" borderId="15" xfId="0" applyFont="1" applyBorder="1" applyAlignment="1">
      <alignment horizontal="left" wrapText="1"/>
    </xf>
    <xf numFmtId="0" fontId="2" fillId="0" borderId="18" xfId="0" applyFont="1" applyBorder="1" applyAlignment="1">
      <alignment horizontal="left" wrapText="1"/>
    </xf>
    <xf numFmtId="0" fontId="2" fillId="0" borderId="21" xfId="0" applyFont="1" applyBorder="1" applyAlignment="1">
      <alignment horizont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9" xfId="0" applyFont="1" applyBorder="1" applyAlignment="1">
      <alignment horizontal="right"/>
    </xf>
    <xf numFmtId="0" fontId="3" fillId="0" borderId="0" xfId="0" applyFont="1" applyFill="1" applyBorder="1" applyAlignment="1">
      <alignment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Border="1" applyAlignment="1">
      <alignment horizontal="center" vertical="center"/>
    </xf>
    <xf numFmtId="3" fontId="2" fillId="0" borderId="17" xfId="0" applyNumberFormat="1" applyFont="1" applyFill="1" applyBorder="1" applyAlignment="1">
      <alignment horizontal="center" vertical="center" wrapText="1"/>
    </xf>
    <xf numFmtId="0" fontId="2" fillId="0" borderId="0" xfId="0" applyFont="1" applyBorder="1" applyAlignment="1">
      <alignment/>
    </xf>
    <xf numFmtId="0" fontId="2" fillId="0" borderId="22" xfId="0" applyFont="1" applyBorder="1" applyAlignment="1">
      <alignment horizontal="left" wrapText="1"/>
    </xf>
    <xf numFmtId="3" fontId="2" fillId="0" borderId="17" xfId="0" applyNumberFormat="1" applyFont="1" applyBorder="1" applyAlignment="1">
      <alignment horizontal="center"/>
    </xf>
    <xf numFmtId="0" fontId="2" fillId="0" borderId="17" xfId="0" applyFont="1" applyBorder="1" applyAlignment="1">
      <alignment/>
    </xf>
    <xf numFmtId="3" fontId="2" fillId="0" borderId="23" xfId="0" applyNumberFormat="1" applyFont="1" applyBorder="1" applyAlignment="1">
      <alignment horizontal="center"/>
    </xf>
    <xf numFmtId="0" fontId="2" fillId="0" borderId="21" xfId="0" applyFont="1" applyBorder="1" applyAlignment="1">
      <alignment/>
    </xf>
    <xf numFmtId="0" fontId="2" fillId="0" borderId="24" xfId="0" applyFont="1" applyBorder="1" applyAlignment="1">
      <alignment horizontal="left" wrapText="1"/>
    </xf>
    <xf numFmtId="0" fontId="2" fillId="0" borderId="0" xfId="0" applyFont="1" applyBorder="1" applyAlignment="1">
      <alignment horizontal="left" wrapText="1"/>
    </xf>
    <xf numFmtId="0" fontId="2" fillId="0" borderId="0" xfId="0" applyFont="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horizontal="center"/>
    </xf>
    <xf numFmtId="0" fontId="18" fillId="0" borderId="0" xfId="0" applyFont="1" applyBorder="1" applyAlignment="1">
      <alignment horizontal="right"/>
    </xf>
    <xf numFmtId="0" fontId="3" fillId="0" borderId="0" xfId="0" applyFont="1" applyBorder="1" applyAlignment="1">
      <alignmen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3" fillId="0" borderId="0" xfId="0" applyFont="1" applyBorder="1" applyAlignment="1">
      <alignment horizontal="center" vertical="center" wrapText="1"/>
    </xf>
    <xf numFmtId="49" fontId="2" fillId="0" borderId="25" xfId="0" applyNumberFormat="1" applyFont="1" applyBorder="1" applyAlignment="1">
      <alignment horizontal="center" vertical="center"/>
    </xf>
    <xf numFmtId="0" fontId="18" fillId="0" borderId="26" xfId="0" applyFont="1" applyBorder="1" applyAlignment="1">
      <alignment horizontal="left" vertical="center" wrapText="1"/>
    </xf>
    <xf numFmtId="3" fontId="18" fillId="0" borderId="26" xfId="0" applyNumberFormat="1" applyFont="1" applyBorder="1" applyAlignment="1">
      <alignment horizontal="center" vertical="center" wrapText="1"/>
    </xf>
    <xf numFmtId="4" fontId="18" fillId="0" borderId="27" xfId="0" applyNumberFormat="1" applyFont="1" applyBorder="1" applyAlignment="1">
      <alignment horizontal="center" vertical="center" wrapText="1"/>
    </xf>
    <xf numFmtId="49" fontId="2" fillId="0" borderId="15" xfId="0" applyNumberFormat="1" applyFont="1" applyBorder="1" applyAlignment="1">
      <alignment horizontal="center" vertical="center"/>
    </xf>
    <xf numFmtId="0" fontId="18" fillId="0" borderId="16" xfId="0" applyFont="1" applyBorder="1" applyAlignment="1">
      <alignment horizontal="left" vertical="center" wrapText="1"/>
    </xf>
    <xf numFmtId="3" fontId="18" fillId="0" borderId="16" xfId="0" applyNumberFormat="1" applyFont="1" applyBorder="1" applyAlignment="1">
      <alignment horizontal="center" vertical="center" wrapText="1"/>
    </xf>
    <xf numFmtId="4" fontId="18"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0" fontId="18" fillId="0" borderId="10" xfId="0" applyFont="1" applyBorder="1" applyAlignment="1">
      <alignment horizontal="left" vertical="center" wrapText="1"/>
    </xf>
    <xf numFmtId="3" fontId="18" fillId="0" borderId="10" xfId="0" applyNumberFormat="1" applyFont="1" applyBorder="1" applyAlignment="1">
      <alignment horizontal="center" vertical="center" wrapText="1"/>
    </xf>
    <xf numFmtId="4" fontId="18" fillId="0" borderId="21" xfId="0" applyNumberFormat="1" applyFont="1" applyBorder="1" applyAlignment="1">
      <alignment horizontal="center" vertical="center" wrapText="1"/>
    </xf>
    <xf numFmtId="0" fontId="2" fillId="0" borderId="19" xfId="0" applyFont="1" applyBorder="1" applyAlignment="1">
      <alignment/>
    </xf>
    <xf numFmtId="49" fontId="3" fillId="0" borderId="0" xfId="0" applyNumberFormat="1" applyFont="1" applyAlignment="1">
      <alignment/>
    </xf>
    <xf numFmtId="0" fontId="2" fillId="0" borderId="0" xfId="0" applyFont="1" applyAlignment="1">
      <alignment horizontal="center" vertical="center"/>
    </xf>
    <xf numFmtId="3" fontId="2" fillId="0" borderId="16" xfId="0" applyNumberFormat="1" applyFont="1" applyBorder="1" applyAlignment="1">
      <alignment horizontal="center" vertical="center"/>
    </xf>
    <xf numFmtId="0" fontId="2" fillId="0" borderId="16" xfId="0" applyFont="1" applyBorder="1" applyAlignment="1">
      <alignment/>
    </xf>
    <xf numFmtId="0" fontId="2" fillId="0" borderId="10" xfId="0" applyFont="1" applyBorder="1" applyAlignment="1">
      <alignment/>
    </xf>
    <xf numFmtId="0" fontId="3" fillId="0" borderId="0" xfId="0" applyFont="1" applyAlignment="1">
      <alignment/>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5" xfId="0" applyFont="1" applyBorder="1" applyAlignment="1">
      <alignment/>
    </xf>
    <xf numFmtId="0" fontId="3" fillId="0" borderId="26"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16" xfId="0" applyFont="1" applyBorder="1" applyAlignment="1">
      <alignment horizontal="center" vertical="center"/>
    </xf>
    <xf numFmtId="3" fontId="2" fillId="0" borderId="17" xfId="0" applyNumberFormat="1" applyFont="1" applyBorder="1" applyAlignment="1">
      <alignment horizontal="center" vertical="center"/>
    </xf>
    <xf numFmtId="0" fontId="2" fillId="0" borderId="15"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0" xfId="0" applyFont="1" applyBorder="1" applyAlignment="1">
      <alignment/>
    </xf>
    <xf numFmtId="0" fontId="10" fillId="0" borderId="28" xfId="0" applyFont="1" applyBorder="1" applyAlignment="1">
      <alignment/>
    </xf>
    <xf numFmtId="0" fontId="3" fillId="0" borderId="29" xfId="0" applyFont="1" applyBorder="1" applyAlignment="1">
      <alignment/>
    </xf>
    <xf numFmtId="0" fontId="10" fillId="0" borderId="24" xfId="0" applyFont="1" applyBorder="1" applyAlignment="1">
      <alignment/>
    </xf>
    <xf numFmtId="0" fontId="3" fillId="0" borderId="30" xfId="0" applyFont="1" applyBorder="1" applyAlignment="1">
      <alignment/>
    </xf>
    <xf numFmtId="0" fontId="3" fillId="0" borderId="0" xfId="0" applyFont="1" applyFill="1" applyBorder="1" applyAlignment="1">
      <alignment/>
    </xf>
    <xf numFmtId="0" fontId="2" fillId="0" borderId="0" xfId="0" applyFont="1" applyAlignment="1">
      <alignment horizontal="left"/>
    </xf>
    <xf numFmtId="0" fontId="11" fillId="0" borderId="0" xfId="0" applyFont="1" applyAlignment="1">
      <alignment/>
    </xf>
    <xf numFmtId="49" fontId="11" fillId="0" borderId="0" xfId="0" applyNumberFormat="1" applyFont="1" applyAlignment="1">
      <alignment/>
    </xf>
    <xf numFmtId="0" fontId="20" fillId="0" borderId="0" xfId="0" applyFont="1" applyAlignment="1">
      <alignment/>
    </xf>
    <xf numFmtId="0" fontId="14" fillId="0" borderId="0" xfId="0" applyFont="1" applyAlignment="1">
      <alignment horizontal="right"/>
    </xf>
    <xf numFmtId="0" fontId="14" fillId="0" borderId="0" xfId="0" applyFont="1" applyAlignment="1">
      <alignment/>
    </xf>
    <xf numFmtId="49" fontId="14" fillId="0" borderId="0" xfId="0" applyNumberFormat="1" applyFont="1" applyAlignment="1">
      <alignment/>
    </xf>
    <xf numFmtId="0" fontId="14" fillId="0" borderId="31" xfId="0" applyFont="1" applyBorder="1" applyAlignment="1">
      <alignment horizontal="center" vertical="center" wrapText="1"/>
    </xf>
    <xf numFmtId="49" fontId="14" fillId="0" borderId="32" xfId="0" applyNumberFormat="1" applyFont="1" applyBorder="1" applyAlignment="1">
      <alignment horizontal="center" vertical="center" wrapText="1"/>
    </xf>
    <xf numFmtId="0" fontId="14" fillId="0" borderId="33"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4" xfId="0" applyFont="1" applyBorder="1" applyAlignment="1">
      <alignment horizontal="center" vertical="center" wrapText="1"/>
    </xf>
    <xf numFmtId="49" fontId="14" fillId="0" borderId="35" xfId="0" applyNumberFormat="1" applyFont="1" applyBorder="1" applyAlignment="1">
      <alignment horizontal="center" vertical="center" wrapText="1"/>
    </xf>
    <xf numFmtId="0" fontId="14" fillId="0" borderId="26" xfId="0" applyFont="1" applyBorder="1" applyAlignment="1">
      <alignment horizontal="center" vertical="center" wrapText="1"/>
    </xf>
    <xf numFmtId="49" fontId="11" fillId="0" borderId="36" xfId="0" applyNumberFormat="1" applyFont="1" applyBorder="1" applyAlignment="1">
      <alignment horizontal="center" vertical="center"/>
    </xf>
    <xf numFmtId="0" fontId="11" fillId="0" borderId="16" xfId="0" applyFont="1" applyBorder="1" applyAlignment="1">
      <alignment horizontal="center"/>
    </xf>
    <xf numFmtId="0" fontId="11" fillId="0" borderId="16" xfId="0" applyFont="1" applyBorder="1" applyAlignment="1">
      <alignment/>
    </xf>
    <xf numFmtId="4" fontId="11" fillId="0" borderId="16" xfId="0" applyNumberFormat="1" applyFont="1" applyBorder="1" applyAlignment="1">
      <alignment/>
    </xf>
    <xf numFmtId="49" fontId="11" fillId="0" borderId="37" xfId="0" applyNumberFormat="1" applyFont="1" applyBorder="1" applyAlignment="1">
      <alignment horizontal="center" vertical="center"/>
    </xf>
    <xf numFmtId="49" fontId="11" fillId="33" borderId="18" xfId="0" applyNumberFormat="1" applyFont="1" applyFill="1" applyBorder="1" applyAlignment="1">
      <alignment horizontal="center" vertical="center"/>
    </xf>
    <xf numFmtId="0" fontId="11" fillId="33" borderId="16" xfId="0" applyFont="1" applyFill="1" applyBorder="1" applyAlignment="1">
      <alignment/>
    </xf>
    <xf numFmtId="49" fontId="11" fillId="0" borderId="35" xfId="0" applyNumberFormat="1" applyFont="1" applyBorder="1" applyAlignment="1">
      <alignment horizontal="center" vertical="center"/>
    </xf>
    <xf numFmtId="4" fontId="11" fillId="0" borderId="13" xfId="0" applyNumberFormat="1" applyFont="1" applyBorder="1" applyAlignment="1">
      <alignment horizontal="right"/>
    </xf>
    <xf numFmtId="4" fontId="11" fillId="0" borderId="16" xfId="0" applyNumberFormat="1" applyFont="1" applyBorder="1" applyAlignment="1">
      <alignment horizontal="right"/>
    </xf>
    <xf numFmtId="0" fontId="11" fillId="0" borderId="23" xfId="0" applyFont="1" applyBorder="1" applyAlignment="1">
      <alignment horizontal="center"/>
    </xf>
    <xf numFmtId="0" fontId="11" fillId="0" borderId="23" xfId="0" applyFont="1" applyBorder="1" applyAlignment="1">
      <alignment/>
    </xf>
    <xf numFmtId="4" fontId="11" fillId="0" borderId="38" xfId="0" applyNumberFormat="1" applyFont="1" applyBorder="1" applyAlignment="1">
      <alignment horizontal="right"/>
    </xf>
    <xf numFmtId="49" fontId="11" fillId="0" borderId="39" xfId="0" applyNumberFormat="1" applyFont="1" applyBorder="1" applyAlignment="1">
      <alignment horizontal="center" vertical="center"/>
    </xf>
    <xf numFmtId="0" fontId="11" fillId="0" borderId="39" xfId="0" applyFont="1" applyBorder="1" applyAlignment="1">
      <alignment horizontal="center"/>
    </xf>
    <xf numFmtId="0" fontId="11" fillId="0" borderId="39" xfId="0" applyFont="1" applyBorder="1" applyAlignment="1">
      <alignment/>
    </xf>
    <xf numFmtId="49" fontId="11" fillId="33" borderId="13" xfId="0" applyNumberFormat="1" applyFont="1" applyFill="1" applyBorder="1" applyAlignment="1">
      <alignment horizontal="center" vertical="center"/>
    </xf>
    <xf numFmtId="0" fontId="11" fillId="33" borderId="13" xfId="0" applyFont="1" applyFill="1" applyBorder="1" applyAlignment="1">
      <alignment/>
    </xf>
    <xf numFmtId="4" fontId="14" fillId="33" borderId="13" xfId="0" applyNumberFormat="1" applyFont="1" applyFill="1" applyBorder="1" applyAlignment="1">
      <alignment/>
    </xf>
    <xf numFmtId="49" fontId="11" fillId="0" borderId="40" xfId="0" applyNumberFormat="1" applyFont="1" applyBorder="1" applyAlignment="1">
      <alignment horizontal="center" vertical="center"/>
    </xf>
    <xf numFmtId="49" fontId="11" fillId="0" borderId="15" xfId="0" applyNumberFormat="1" applyFont="1" applyBorder="1" applyAlignment="1">
      <alignment horizontal="center" vertical="center"/>
    </xf>
    <xf numFmtId="0" fontId="13" fillId="0" borderId="0" xfId="0" applyFont="1" applyAlignment="1">
      <alignment horizontal="center"/>
    </xf>
    <xf numFmtId="0" fontId="12" fillId="0" borderId="0" xfId="0" applyFont="1" applyAlignment="1">
      <alignment horizontal="center"/>
    </xf>
    <xf numFmtId="0" fontId="13" fillId="0" borderId="41" xfId="0" applyFont="1" applyBorder="1" applyAlignment="1">
      <alignment horizontal="center"/>
    </xf>
    <xf numFmtId="0" fontId="13" fillId="33" borderId="31" xfId="0" applyFont="1" applyFill="1" applyBorder="1" applyAlignment="1" applyProtection="1">
      <alignment horizontal="center" vertical="center" wrapText="1"/>
      <protection/>
    </xf>
    <xf numFmtId="49" fontId="2" fillId="33" borderId="42" xfId="0" applyNumberFormat="1" applyFont="1" applyFill="1" applyBorder="1" applyAlignment="1" applyProtection="1">
      <alignment horizontal="center" vertical="center" wrapText="1"/>
      <protection/>
    </xf>
    <xf numFmtId="49" fontId="2" fillId="33" borderId="31" xfId="0" applyNumberFormat="1" applyFont="1" applyFill="1" applyBorder="1" applyAlignment="1" applyProtection="1">
      <alignment horizontal="center" vertical="center" wrapText="1"/>
      <protection/>
    </xf>
    <xf numFmtId="0" fontId="13" fillId="0" borderId="0" xfId="0" applyFont="1" applyFill="1" applyBorder="1" applyAlignment="1">
      <alignment horizontal="center" vertical="center" wrapText="1"/>
    </xf>
    <xf numFmtId="0" fontId="13" fillId="0" borderId="43" xfId="0" applyFont="1" applyBorder="1" applyAlignment="1">
      <alignment horizontal="center" vertical="center"/>
    </xf>
    <xf numFmtId="2" fontId="13" fillId="0" borderId="44" xfId="0" applyNumberFormat="1" applyFont="1" applyBorder="1" applyAlignment="1">
      <alignment horizontal="center" vertical="center" wrapText="1"/>
    </xf>
    <xf numFmtId="0" fontId="13" fillId="0" borderId="43" xfId="0" applyFont="1" applyBorder="1" applyAlignment="1">
      <alignment horizontal="center" vertical="center" wrapText="1"/>
    </xf>
    <xf numFmtId="1" fontId="13" fillId="0" borderId="43" xfId="0" applyNumberFormat="1" applyFont="1" applyBorder="1" applyAlignment="1">
      <alignment horizontal="center" vertical="center"/>
    </xf>
    <xf numFmtId="3" fontId="13" fillId="0" borderId="43" xfId="0" applyNumberFormat="1"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13" fillId="0" borderId="20" xfId="0" applyFont="1" applyBorder="1" applyAlignment="1">
      <alignment horizontal="center" vertical="center"/>
    </xf>
    <xf numFmtId="0" fontId="13" fillId="0" borderId="45" xfId="0" applyFont="1" applyBorder="1" applyAlignment="1">
      <alignment horizontal="center"/>
    </xf>
    <xf numFmtId="0" fontId="13" fillId="0" borderId="20" xfId="0" applyFont="1" applyBorder="1" applyAlignment="1">
      <alignment horizontal="center"/>
    </xf>
    <xf numFmtId="3" fontId="13" fillId="0" borderId="20" xfId="0" applyNumberFormat="1" applyFont="1" applyBorder="1" applyAlignment="1">
      <alignment horizontal="center"/>
    </xf>
    <xf numFmtId="3" fontId="13" fillId="0" borderId="45" xfId="0" applyNumberFormat="1" applyFont="1" applyBorder="1" applyAlignment="1">
      <alignment horizontal="center"/>
    </xf>
    <xf numFmtId="0" fontId="13" fillId="0" borderId="0" xfId="0" applyFont="1" applyBorder="1" applyAlignment="1">
      <alignment horizontal="center"/>
    </xf>
    <xf numFmtId="0" fontId="13" fillId="0" borderId="46" xfId="0" applyFont="1" applyBorder="1" applyAlignment="1">
      <alignment horizontal="center"/>
    </xf>
    <xf numFmtId="3" fontId="13" fillId="0" borderId="46" xfId="0" applyNumberFormat="1" applyFont="1" applyBorder="1" applyAlignment="1">
      <alignment horizontal="center"/>
    </xf>
    <xf numFmtId="3" fontId="13" fillId="0" borderId="47" xfId="0" applyNumberFormat="1" applyFont="1" applyBorder="1" applyAlignment="1">
      <alignment horizontal="center"/>
    </xf>
    <xf numFmtId="0" fontId="13" fillId="33" borderId="48" xfId="0" applyFont="1" applyFill="1" applyBorder="1" applyAlignment="1">
      <alignment horizontal="center" vertical="center"/>
    </xf>
    <xf numFmtId="0" fontId="13" fillId="33" borderId="48" xfId="0" applyFont="1" applyFill="1" applyBorder="1" applyAlignment="1">
      <alignment horizontal="center"/>
    </xf>
    <xf numFmtId="0" fontId="13" fillId="0" borderId="19" xfId="0" applyFont="1" applyBorder="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19" xfId="0" applyFont="1" applyFill="1" applyBorder="1" applyAlignment="1">
      <alignment horizontal="center"/>
    </xf>
    <xf numFmtId="0" fontId="13" fillId="0" borderId="0" xfId="0" applyFont="1" applyAlignment="1">
      <alignment vertical="center"/>
    </xf>
    <xf numFmtId="49" fontId="2" fillId="33" borderId="49" xfId="0" applyNumberFormat="1" applyFont="1" applyFill="1" applyBorder="1" applyAlignment="1" applyProtection="1">
      <alignment horizontal="center" vertical="center" wrapText="1"/>
      <protection/>
    </xf>
    <xf numFmtId="49" fontId="2" fillId="33" borderId="21" xfId="0" applyNumberFormat="1" applyFont="1" applyFill="1" applyBorder="1" applyAlignment="1" applyProtection="1">
      <alignment horizontal="center" vertical="center" wrapText="1"/>
      <protection/>
    </xf>
    <xf numFmtId="0" fontId="13" fillId="0" borderId="34" xfId="0" applyFont="1" applyBorder="1" applyAlignment="1">
      <alignment horizontal="center" vertical="center"/>
    </xf>
    <xf numFmtId="3" fontId="13" fillId="0" borderId="40" xfId="0" applyNumberFormat="1" applyFont="1" applyBorder="1" applyAlignment="1">
      <alignment horizontal="center"/>
    </xf>
    <xf numFmtId="3" fontId="13" fillId="0" borderId="14" xfId="0" applyNumberFormat="1" applyFont="1" applyBorder="1" applyAlignment="1">
      <alignment horizontal="center"/>
    </xf>
    <xf numFmtId="3" fontId="13" fillId="0" borderId="50" xfId="0" applyNumberFormat="1" applyFont="1" applyBorder="1" applyAlignment="1">
      <alignment horizontal="center"/>
    </xf>
    <xf numFmtId="3" fontId="13" fillId="0" borderId="12" xfId="0" applyNumberFormat="1" applyFont="1" applyBorder="1" applyAlignment="1">
      <alignment horizontal="center"/>
    </xf>
    <xf numFmtId="3" fontId="13" fillId="0" borderId="36" xfId="0" applyNumberFormat="1" applyFont="1" applyBorder="1" applyAlignment="1">
      <alignment horizontal="center"/>
    </xf>
    <xf numFmtId="3" fontId="13" fillId="0" borderId="17" xfId="0" applyNumberFormat="1" applyFont="1" applyBorder="1" applyAlignment="1">
      <alignment horizontal="center"/>
    </xf>
    <xf numFmtId="3" fontId="13" fillId="0" borderId="51" xfId="0" applyNumberFormat="1" applyFont="1" applyBorder="1" applyAlignment="1">
      <alignment horizontal="center"/>
    </xf>
    <xf numFmtId="3" fontId="13" fillId="0" borderId="15" xfId="0" applyNumberFormat="1" applyFont="1" applyBorder="1" applyAlignment="1">
      <alignment horizontal="center"/>
    </xf>
    <xf numFmtId="3" fontId="13" fillId="33" borderId="52" xfId="0" applyNumberFormat="1" applyFont="1" applyFill="1" applyBorder="1" applyAlignment="1">
      <alignment horizontal="center"/>
    </xf>
    <xf numFmtId="3" fontId="13" fillId="33" borderId="30" xfId="0" applyNumberFormat="1" applyFont="1" applyFill="1" applyBorder="1" applyAlignment="1">
      <alignment horizontal="center"/>
    </xf>
    <xf numFmtId="3" fontId="13" fillId="33" borderId="53" xfId="0" applyNumberFormat="1" applyFont="1" applyFill="1" applyBorder="1" applyAlignment="1">
      <alignment horizontal="center"/>
    </xf>
    <xf numFmtId="3" fontId="13" fillId="33" borderId="24" xfId="0" applyNumberFormat="1" applyFont="1" applyFill="1" applyBorder="1" applyAlignment="1">
      <alignment horizontal="center"/>
    </xf>
    <xf numFmtId="0" fontId="22" fillId="0" borderId="12" xfId="51" applyFont="1" applyBorder="1" applyAlignment="1">
      <alignment horizontal="center" vertical="center" wrapText="1"/>
      <protection/>
    </xf>
    <xf numFmtId="0" fontId="22" fillId="0" borderId="13" xfId="51" applyFont="1" applyBorder="1" applyAlignment="1">
      <alignment horizontal="center" vertical="center" wrapText="1"/>
      <protection/>
    </xf>
    <xf numFmtId="0" fontId="22" fillId="0" borderId="14" xfId="51" applyFont="1" applyBorder="1" applyAlignment="1">
      <alignment horizontal="center" vertical="center" wrapText="1"/>
      <protection/>
    </xf>
    <xf numFmtId="0" fontId="22" fillId="0" borderId="15" xfId="51" applyFont="1" applyBorder="1" applyAlignment="1">
      <alignment vertical="center" wrapText="1"/>
      <protection/>
    </xf>
    <xf numFmtId="0" fontId="22" fillId="33" borderId="15" xfId="51" applyFont="1" applyFill="1" applyBorder="1" applyAlignment="1">
      <alignment vertical="center" wrapText="1"/>
      <protection/>
    </xf>
    <xf numFmtId="0" fontId="22" fillId="0" borderId="18" xfId="51" applyFont="1" applyBorder="1" applyAlignment="1">
      <alignment vertical="center" wrapText="1"/>
      <protection/>
    </xf>
    <xf numFmtId="0" fontId="18" fillId="0" borderId="0" xfId="51" applyFont="1" applyAlignment="1">
      <alignment wrapText="1"/>
      <protection/>
    </xf>
    <xf numFmtId="0" fontId="18" fillId="0" borderId="0" xfId="51" applyFont="1" applyAlignment="1">
      <alignment horizontal="center" wrapText="1"/>
      <protection/>
    </xf>
    <xf numFmtId="3" fontId="3" fillId="0" borderId="10" xfId="0" applyNumberFormat="1" applyFont="1" applyFill="1" applyBorder="1" applyAlignment="1">
      <alignment horizontal="center" vertical="center"/>
    </xf>
    <xf numFmtId="0" fontId="2" fillId="0" borderId="17" xfId="0" applyFont="1" applyBorder="1" applyAlignment="1">
      <alignment horizontal="center"/>
    </xf>
    <xf numFmtId="3" fontId="2" fillId="0" borderId="54" xfId="0" applyNumberFormat="1" applyFont="1" applyBorder="1" applyAlignment="1">
      <alignment horizontal="center"/>
    </xf>
    <xf numFmtId="49" fontId="11" fillId="0" borderId="55" xfId="0" applyNumberFormat="1" applyFont="1" applyBorder="1" applyAlignment="1">
      <alignment horizontal="center" vertical="center"/>
    </xf>
    <xf numFmtId="49" fontId="11" fillId="33" borderId="56" xfId="0" applyNumberFormat="1" applyFont="1" applyFill="1" applyBorder="1" applyAlignment="1">
      <alignment horizontal="center" vertical="center"/>
    </xf>
    <xf numFmtId="0" fontId="11" fillId="35" borderId="39" xfId="0" applyFont="1" applyFill="1" applyBorder="1" applyAlignment="1">
      <alignment/>
    </xf>
    <xf numFmtId="4" fontId="11" fillId="0" borderId="13" xfId="0" applyNumberFormat="1" applyFont="1" applyBorder="1" applyAlignment="1">
      <alignment/>
    </xf>
    <xf numFmtId="4" fontId="11" fillId="0" borderId="23" xfId="0" applyNumberFormat="1" applyFont="1" applyBorder="1" applyAlignment="1">
      <alignment/>
    </xf>
    <xf numFmtId="4" fontId="11" fillId="0" borderId="39" xfId="0" applyNumberFormat="1" applyFont="1" applyBorder="1" applyAlignment="1">
      <alignment/>
    </xf>
    <xf numFmtId="4" fontId="14" fillId="35" borderId="39" xfId="0" applyNumberFormat="1" applyFont="1" applyFill="1" applyBorder="1" applyAlignment="1">
      <alignment/>
    </xf>
    <xf numFmtId="0" fontId="11" fillId="36" borderId="38" xfId="0" applyFont="1" applyFill="1" applyBorder="1" applyAlignment="1">
      <alignment/>
    </xf>
    <xf numFmtId="3" fontId="13" fillId="33" borderId="48" xfId="0" applyNumberFormat="1" applyFont="1" applyFill="1" applyBorder="1" applyAlignment="1">
      <alignment horizontal="center"/>
    </xf>
    <xf numFmtId="0" fontId="13" fillId="0" borderId="57" xfId="0" applyFont="1" applyBorder="1" applyAlignment="1">
      <alignment horizontal="center" vertical="center"/>
    </xf>
    <xf numFmtId="0" fontId="13" fillId="0" borderId="58" xfId="0" applyFont="1" applyBorder="1" applyAlignment="1">
      <alignment horizontal="center"/>
    </xf>
    <xf numFmtId="3" fontId="13" fillId="33" borderId="59" xfId="0" applyNumberFormat="1" applyFont="1" applyFill="1" applyBorder="1" applyAlignment="1">
      <alignment horizontal="center"/>
    </xf>
    <xf numFmtId="0" fontId="23" fillId="0" borderId="0" xfId="0" applyFont="1" applyAlignment="1">
      <alignment/>
    </xf>
    <xf numFmtId="0" fontId="22" fillId="0" borderId="0" xfId="0" applyFont="1" applyAlignment="1">
      <alignment vertical="center"/>
    </xf>
    <xf numFmtId="0" fontId="24" fillId="0" borderId="0" xfId="51" applyFont="1">
      <alignment/>
      <protection/>
    </xf>
    <xf numFmtId="0" fontId="24" fillId="0" borderId="0" xfId="51" applyFont="1" applyAlignment="1">
      <alignment horizontal="center"/>
      <protection/>
    </xf>
    <xf numFmtId="0" fontId="23" fillId="0" borderId="0" xfId="51" applyFont="1">
      <alignment/>
      <protection/>
    </xf>
    <xf numFmtId="0" fontId="25" fillId="0" borderId="0" xfId="51" applyFont="1">
      <alignment/>
      <protection/>
    </xf>
    <xf numFmtId="0" fontId="25" fillId="0" borderId="0" xfId="51" applyFont="1" applyAlignment="1">
      <alignment horizontal="center"/>
      <protection/>
    </xf>
    <xf numFmtId="0" fontId="22" fillId="0" borderId="0" xfId="51" applyFont="1">
      <alignment/>
      <protection/>
    </xf>
    <xf numFmtId="0" fontId="22" fillId="0" borderId="0" xfId="51" applyFont="1" applyAlignment="1">
      <alignment horizontal="center"/>
      <protection/>
    </xf>
    <xf numFmtId="0" fontId="23" fillId="0" borderId="0" xfId="51" applyFont="1" applyAlignment="1">
      <alignment vertical="center"/>
      <protection/>
    </xf>
    <xf numFmtId="0" fontId="23" fillId="33" borderId="16" xfId="51" applyFont="1" applyFill="1" applyBorder="1" applyAlignment="1">
      <alignment vertical="center" wrapText="1"/>
      <protection/>
    </xf>
    <xf numFmtId="0" fontId="23" fillId="33" borderId="16" xfId="51" applyFont="1" applyFill="1" applyBorder="1" applyAlignment="1">
      <alignment horizontal="center" vertical="center" wrapText="1"/>
      <protection/>
    </xf>
    <xf numFmtId="3" fontId="22" fillId="33" borderId="16" xfId="51" applyNumberFormat="1" applyFont="1" applyFill="1" applyBorder="1" applyAlignment="1">
      <alignment horizontal="center" vertical="center" wrapText="1"/>
      <protection/>
    </xf>
    <xf numFmtId="3" fontId="22" fillId="33" borderId="17" xfId="51" applyNumberFormat="1" applyFont="1" applyFill="1" applyBorder="1" applyAlignment="1">
      <alignment horizontal="center" vertical="center" wrapText="1"/>
      <protection/>
    </xf>
    <xf numFmtId="0" fontId="22" fillId="0" borderId="16" xfId="51" applyFont="1" applyBorder="1" applyAlignment="1">
      <alignment vertical="center" wrapText="1"/>
      <protection/>
    </xf>
    <xf numFmtId="0" fontId="22" fillId="0" borderId="16" xfId="51" applyFont="1" applyBorder="1" applyAlignment="1">
      <alignment horizontal="center" vertical="center" wrapText="1"/>
      <protection/>
    </xf>
    <xf numFmtId="3" fontId="22" fillId="0" borderId="16" xfId="51" applyNumberFormat="1" applyFont="1" applyBorder="1" applyAlignment="1">
      <alignment horizontal="center" vertical="center" wrapText="1"/>
      <protection/>
    </xf>
    <xf numFmtId="3" fontId="22" fillId="0" borderId="17" xfId="51" applyNumberFormat="1" applyFont="1" applyBorder="1" applyAlignment="1">
      <alignment horizontal="center" vertical="center" wrapText="1"/>
      <protection/>
    </xf>
    <xf numFmtId="0" fontId="22" fillId="0" borderId="23" xfId="51" applyFont="1" applyBorder="1" applyAlignment="1">
      <alignment horizontal="center" vertical="center" wrapText="1"/>
      <protection/>
    </xf>
    <xf numFmtId="0" fontId="22" fillId="0" borderId="16" xfId="51" applyFont="1" applyBorder="1" applyAlignment="1">
      <alignment horizontal="left" vertical="center" wrapText="1"/>
      <protection/>
    </xf>
    <xf numFmtId="0" fontId="22" fillId="0" borderId="23" xfId="51" applyFont="1" applyBorder="1" applyAlignment="1">
      <alignment vertical="center" wrapText="1"/>
      <protection/>
    </xf>
    <xf numFmtId="0" fontId="23" fillId="33" borderId="23" xfId="51" applyFont="1" applyFill="1" applyBorder="1" applyAlignment="1">
      <alignment horizontal="center" vertical="center" wrapText="1"/>
      <protection/>
    </xf>
    <xf numFmtId="0" fontId="22" fillId="0" borderId="10" xfId="51" applyFont="1" applyBorder="1" applyAlignment="1">
      <alignment vertical="center" wrapText="1"/>
      <protection/>
    </xf>
    <xf numFmtId="0" fontId="22" fillId="0" borderId="10" xfId="51" applyFont="1" applyBorder="1" applyAlignment="1">
      <alignment horizontal="center" vertical="center" wrapText="1"/>
      <protection/>
    </xf>
    <xf numFmtId="3" fontId="22" fillId="0" borderId="10" xfId="51" applyNumberFormat="1" applyFont="1" applyBorder="1" applyAlignment="1">
      <alignment horizontal="center" vertical="center" wrapText="1"/>
      <protection/>
    </xf>
    <xf numFmtId="3" fontId="22" fillId="0" borderId="21" xfId="51" applyNumberFormat="1" applyFont="1" applyBorder="1" applyAlignment="1">
      <alignment horizontal="center" vertical="center" wrapText="1"/>
      <protection/>
    </xf>
    <xf numFmtId="0" fontId="25" fillId="0" borderId="0" xfId="51" applyFont="1" applyAlignment="1">
      <alignment vertical="top"/>
      <protection/>
    </xf>
    <xf numFmtId="0" fontId="3" fillId="0" borderId="27" xfId="0" applyFont="1" applyFill="1" applyBorder="1" applyAlignment="1">
      <alignment horizontal="center" vertical="center" wrapText="1"/>
    </xf>
    <xf numFmtId="0" fontId="2" fillId="0" borderId="0" xfId="0" applyFont="1" applyBorder="1" applyAlignment="1">
      <alignment horizontal="left" vertical="center"/>
    </xf>
    <xf numFmtId="3" fontId="3" fillId="36" borderId="39" xfId="0" applyNumberFormat="1" applyFont="1" applyFill="1" applyBorder="1" applyAlignment="1">
      <alignment horizontal="center" vertical="center"/>
    </xf>
    <xf numFmtId="3" fontId="3" fillId="0" borderId="39" xfId="0" applyNumberFormat="1" applyFont="1" applyBorder="1" applyAlignment="1">
      <alignment horizontal="center" vertical="center"/>
    </xf>
    <xf numFmtId="3" fontId="19" fillId="0" borderId="39" xfId="0" applyNumberFormat="1" applyFont="1" applyBorder="1" applyAlignment="1">
      <alignment horizontal="center" vertical="center"/>
    </xf>
    <xf numFmtId="3" fontId="19" fillId="0" borderId="60" xfId="0" applyNumberFormat="1" applyFont="1" applyBorder="1" applyAlignment="1">
      <alignment horizontal="center" vertical="center"/>
    </xf>
    <xf numFmtId="3" fontId="19" fillId="0" borderId="0" xfId="0" applyNumberFormat="1" applyFont="1" applyBorder="1" applyAlignment="1">
      <alignment horizontal="center" vertical="center"/>
    </xf>
    <xf numFmtId="3" fontId="19" fillId="0" borderId="61" xfId="0" applyNumberFormat="1" applyFont="1" applyBorder="1" applyAlignment="1">
      <alignment horizontal="center" vertical="center"/>
    </xf>
    <xf numFmtId="3" fontId="4" fillId="0" borderId="60" xfId="0" applyNumberFormat="1" applyFont="1" applyBorder="1" applyAlignment="1">
      <alignment horizontal="center" vertical="center"/>
    </xf>
    <xf numFmtId="3" fontId="4" fillId="0" borderId="62" xfId="0" applyNumberFormat="1" applyFont="1" applyBorder="1" applyAlignment="1">
      <alignment horizontal="center" vertical="center"/>
    </xf>
    <xf numFmtId="0" fontId="73" fillId="0" borderId="0" xfId="0" applyFont="1" applyAlignment="1">
      <alignment/>
    </xf>
    <xf numFmtId="3" fontId="3" fillId="34" borderId="16" xfId="0" applyNumberFormat="1" applyFont="1" applyFill="1" applyBorder="1" applyAlignment="1">
      <alignment horizontal="center" vertical="center"/>
    </xf>
    <xf numFmtId="4" fontId="3" fillId="33" borderId="17" xfId="0" applyNumberFormat="1" applyFont="1" applyFill="1" applyBorder="1" applyAlignment="1">
      <alignment horizontal="center" vertical="center" wrapText="1"/>
    </xf>
    <xf numFmtId="3" fontId="3" fillId="33" borderId="16" xfId="0" applyNumberFormat="1" applyFont="1" applyFill="1" applyBorder="1" applyAlignment="1">
      <alignment horizontal="center" vertical="center"/>
    </xf>
    <xf numFmtId="3" fontId="3" fillId="36" borderId="16" xfId="0" applyNumberFormat="1" applyFont="1" applyFill="1" applyBorder="1" applyAlignment="1">
      <alignment horizontal="center" vertical="center"/>
    </xf>
    <xf numFmtId="3" fontId="3" fillId="33" borderId="51" xfId="0" applyNumberFormat="1" applyFont="1" applyFill="1" applyBorder="1" applyAlignment="1">
      <alignment horizontal="center" vertical="center"/>
    </xf>
    <xf numFmtId="3" fontId="3" fillId="0" borderId="10"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3" fontId="3" fillId="0" borderId="13" xfId="0" applyNumberFormat="1" applyFont="1" applyBorder="1" applyAlignment="1">
      <alignment horizontal="center" vertical="center"/>
    </xf>
    <xf numFmtId="3" fontId="3" fillId="0" borderId="13"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3" fontId="3" fillId="0" borderId="16" xfId="0" applyNumberFormat="1" applyFont="1" applyFill="1" applyBorder="1" applyAlignment="1" applyProtection="1">
      <alignment horizontal="center" vertical="center"/>
      <protection/>
    </xf>
    <xf numFmtId="3" fontId="3" fillId="0" borderId="17" xfId="0" applyNumberFormat="1" applyFont="1" applyFill="1" applyBorder="1" applyAlignment="1">
      <alignment horizontal="center" vertical="center"/>
    </xf>
    <xf numFmtId="3" fontId="3" fillId="0" borderId="16" xfId="0" applyNumberFormat="1" applyFont="1" applyFill="1" applyBorder="1" applyAlignment="1" applyProtection="1">
      <alignment horizontal="center" vertical="center"/>
      <protection locked="0"/>
    </xf>
    <xf numFmtId="3" fontId="3" fillId="0" borderId="16" xfId="0" applyNumberFormat="1" applyFont="1" applyFill="1" applyBorder="1" applyAlignment="1" applyProtection="1">
      <alignment horizontal="center" vertical="center"/>
      <protection/>
    </xf>
    <xf numFmtId="3" fontId="3" fillId="0" borderId="16" xfId="0" applyNumberFormat="1" applyFont="1" applyFill="1" applyBorder="1" applyAlignment="1">
      <alignment horizontal="center" vertical="center"/>
    </xf>
    <xf numFmtId="3" fontId="3" fillId="36" borderId="16" xfId="0" applyNumberFormat="1" applyFont="1" applyFill="1" applyBorder="1" applyAlignment="1" applyProtection="1">
      <alignment horizontal="center" vertical="center"/>
      <protection locked="0"/>
    </xf>
    <xf numFmtId="4" fontId="3" fillId="36" borderId="17" xfId="0" applyNumberFormat="1" applyFont="1" applyFill="1" applyBorder="1" applyAlignment="1">
      <alignment horizontal="center" vertical="center"/>
    </xf>
    <xf numFmtId="3" fontId="3" fillId="36" borderId="16" xfId="0" applyNumberFormat="1" applyFont="1" applyFill="1" applyBorder="1" applyAlignment="1" applyProtection="1">
      <alignment horizontal="center" vertical="center"/>
      <protection/>
    </xf>
    <xf numFmtId="3" fontId="3" fillId="0" borderId="39" xfId="51" applyNumberFormat="1" applyFont="1" applyFill="1" applyBorder="1" applyAlignment="1">
      <alignment horizontal="center" vertical="center" wrapText="1"/>
      <protection/>
    </xf>
    <xf numFmtId="3" fontId="3" fillId="0" borderId="63" xfId="51" applyNumberFormat="1" applyFont="1" applyFill="1" applyBorder="1" applyAlignment="1">
      <alignment horizontal="center" vertical="center" wrapText="1"/>
      <protection/>
    </xf>
    <xf numFmtId="3" fontId="3" fillId="0" borderId="39" xfId="51" applyNumberFormat="1" applyFont="1" applyFill="1" applyBorder="1" applyAlignment="1">
      <alignment horizontal="center" vertical="center"/>
      <protection/>
    </xf>
    <xf numFmtId="3" fontId="3" fillId="0" borderId="16"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64" xfId="51" applyNumberFormat="1" applyFont="1" applyFill="1" applyBorder="1" applyAlignment="1">
      <alignment horizontal="center" vertical="center" wrapText="1"/>
      <protection/>
    </xf>
    <xf numFmtId="3" fontId="3" fillId="0" borderId="65" xfId="51" applyNumberFormat="1" applyFont="1" applyFill="1" applyBorder="1" applyAlignment="1">
      <alignment horizontal="center" vertical="center" wrapText="1"/>
      <protection/>
    </xf>
    <xf numFmtId="49" fontId="9" fillId="34" borderId="16" xfId="51" applyNumberFormat="1" applyFont="1" applyFill="1" applyBorder="1" applyAlignment="1">
      <alignment horizontal="left" vertical="center"/>
      <protection/>
    </xf>
    <xf numFmtId="0" fontId="2" fillId="0" borderId="66" xfId="0" applyFont="1" applyBorder="1" applyAlignment="1">
      <alignment horizontal="center"/>
    </xf>
    <xf numFmtId="0" fontId="11" fillId="0" borderId="51" xfId="0" applyFont="1" applyBorder="1" applyAlignment="1">
      <alignment/>
    </xf>
    <xf numFmtId="0" fontId="11" fillId="0" borderId="67" xfId="0" applyFont="1" applyBorder="1" applyAlignment="1">
      <alignment/>
    </xf>
    <xf numFmtId="0" fontId="11" fillId="0" borderId="68" xfId="0" applyFont="1" applyBorder="1" applyAlignment="1">
      <alignment/>
    </xf>
    <xf numFmtId="4" fontId="11" fillId="0" borderId="26" xfId="0" applyNumberFormat="1" applyFont="1" applyBorder="1" applyAlignment="1">
      <alignment/>
    </xf>
    <xf numFmtId="4" fontId="14" fillId="36" borderId="38" xfId="0" applyNumberFormat="1" applyFont="1" applyFill="1" applyBorder="1" applyAlignment="1">
      <alignment/>
    </xf>
    <xf numFmtId="4" fontId="14" fillId="33" borderId="69" xfId="0" applyNumberFormat="1" applyFont="1" applyFill="1" applyBorder="1" applyAlignment="1">
      <alignment/>
    </xf>
    <xf numFmtId="49" fontId="2" fillId="0" borderId="0" xfId="0" applyNumberFormat="1" applyFont="1"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16" xfId="0" applyFont="1" applyBorder="1" applyAlignment="1">
      <alignment horizontal="left" vertical="center"/>
    </xf>
    <xf numFmtId="0" fontId="2" fillId="0" borderId="16" xfId="0" applyFont="1" applyBorder="1" applyAlignment="1">
      <alignment/>
    </xf>
    <xf numFmtId="0" fontId="2" fillId="0" borderId="17" xfId="0" applyFont="1" applyBorder="1" applyAlignment="1">
      <alignment horizontal="center"/>
    </xf>
    <xf numFmtId="0" fontId="2" fillId="0" borderId="16" xfId="0" applyFont="1" applyBorder="1" applyAlignment="1">
      <alignment horizontal="left" vertical="center"/>
    </xf>
    <xf numFmtId="0" fontId="2" fillId="0" borderId="16" xfId="0" applyFont="1" applyBorder="1" applyAlignment="1">
      <alignment horizontal="center"/>
    </xf>
    <xf numFmtId="0" fontId="2" fillId="0" borderId="15" xfId="0" applyFont="1" applyBorder="1" applyAlignment="1">
      <alignment horizontal="center" vertical="center" wrapText="1"/>
    </xf>
    <xf numFmtId="0" fontId="2" fillId="0" borderId="16" xfId="0" applyFont="1" applyBorder="1" applyAlignment="1">
      <alignment horizontal="left" vertical="center" wrapText="1"/>
    </xf>
    <xf numFmtId="49" fontId="3" fillId="0" borderId="18" xfId="0" applyNumberFormat="1"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center"/>
    </xf>
    <xf numFmtId="0" fontId="3" fillId="0" borderId="21" xfId="0" applyFont="1" applyBorder="1" applyAlignment="1">
      <alignment horizontal="center"/>
    </xf>
    <xf numFmtId="49" fontId="2" fillId="0" borderId="0" xfId="0" applyNumberFormat="1" applyFont="1" applyBorder="1" applyAlignment="1">
      <alignment horizontal="center" vertical="center"/>
    </xf>
    <xf numFmtId="0" fontId="2" fillId="0" borderId="0" xfId="0" applyFont="1" applyAlignment="1">
      <alignment/>
    </xf>
    <xf numFmtId="3" fontId="3" fillId="0" borderId="39" xfId="0" applyNumberFormat="1" applyFont="1" applyBorder="1" applyAlignment="1">
      <alignment horizontal="center" vertical="center" wrapText="1"/>
    </xf>
    <xf numFmtId="3" fontId="3" fillId="0" borderId="16" xfId="0" applyNumberFormat="1" applyFont="1" applyBorder="1" applyAlignment="1">
      <alignment horizontal="center" wrapText="1"/>
    </xf>
    <xf numFmtId="3" fontId="3" fillId="0" borderId="16" xfId="0" applyNumberFormat="1" applyFont="1" applyBorder="1" applyAlignment="1">
      <alignment horizontal="center"/>
    </xf>
    <xf numFmtId="0" fontId="2" fillId="0" borderId="16" xfId="0" applyFont="1" applyBorder="1" applyAlignment="1">
      <alignment horizontal="left" vertical="center"/>
    </xf>
    <xf numFmtId="0" fontId="75" fillId="0" borderId="0" xfId="0" applyFont="1" applyAlignment="1">
      <alignment/>
    </xf>
    <xf numFmtId="3" fontId="3" fillId="36" borderId="68" xfId="52" applyNumberFormat="1" applyFont="1" applyFill="1" applyBorder="1" applyAlignment="1">
      <alignment horizontal="center" vertical="center" wrapText="1"/>
      <protection/>
    </xf>
    <xf numFmtId="3" fontId="3" fillId="0" borderId="68" xfId="52" applyNumberFormat="1" applyFont="1" applyFill="1" applyBorder="1" applyAlignment="1">
      <alignment horizontal="center" vertical="center" wrapText="1"/>
      <protection/>
    </xf>
    <xf numFmtId="3" fontId="3" fillId="36" borderId="68" xfId="52" applyNumberFormat="1" applyFont="1" applyFill="1" applyBorder="1" applyAlignment="1">
      <alignment horizontal="center" vertical="center" wrapText="1"/>
      <protection/>
    </xf>
    <xf numFmtId="3" fontId="3" fillId="0" borderId="68" xfId="52" applyNumberFormat="1" applyFont="1" applyFill="1" applyBorder="1" applyAlignment="1">
      <alignment horizontal="center" vertical="center" wrapText="1"/>
      <protection/>
    </xf>
    <xf numFmtId="3" fontId="3" fillId="0" borderId="70" xfId="52" applyNumberFormat="1" applyFont="1" applyFill="1" applyBorder="1" applyAlignment="1">
      <alignment horizontal="center" vertical="center" wrapText="1"/>
      <protection/>
    </xf>
    <xf numFmtId="3" fontId="0" fillId="0" borderId="0" xfId="0" applyNumberFormat="1" applyAlignment="1">
      <alignment/>
    </xf>
    <xf numFmtId="4" fontId="14" fillId="35" borderId="54" xfId="0" applyNumberFormat="1" applyFont="1" applyFill="1" applyBorder="1" applyAlignment="1">
      <alignment/>
    </xf>
    <xf numFmtId="0" fontId="13" fillId="0" borderId="45" xfId="0" applyFont="1" applyBorder="1" applyAlignment="1">
      <alignment horizontal="center" vertical="center" wrapText="1"/>
    </xf>
    <xf numFmtId="3" fontId="13" fillId="0" borderId="20" xfId="0" applyNumberFormat="1" applyFont="1" applyBorder="1" applyAlignment="1">
      <alignment horizontal="center" vertical="center"/>
    </xf>
    <xf numFmtId="3" fontId="13" fillId="0" borderId="45" xfId="0" applyNumberFormat="1" applyFont="1" applyBorder="1" applyAlignment="1">
      <alignment horizontal="center" vertical="center"/>
    </xf>
    <xf numFmtId="0" fontId="0" fillId="0" borderId="0" xfId="0" applyAlignment="1">
      <alignment horizontal="center" vertical="center"/>
    </xf>
    <xf numFmtId="0" fontId="13" fillId="0" borderId="45" xfId="0" applyFont="1" applyBorder="1" applyAlignment="1">
      <alignment horizontal="center" vertical="center"/>
    </xf>
    <xf numFmtId="0" fontId="0" fillId="0" borderId="0" xfId="0" applyAlignment="1">
      <alignment vertical="center"/>
    </xf>
    <xf numFmtId="0" fontId="3" fillId="0" borderId="26" xfId="51" applyFont="1" applyBorder="1" applyAlignment="1">
      <alignment horizontal="left" vertical="center" wrapText="1"/>
      <protection/>
    </xf>
    <xf numFmtId="0" fontId="2"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3" fontId="2" fillId="37" borderId="16" xfId="0" applyNumberFormat="1" applyFont="1" applyFill="1" applyBorder="1" applyAlignment="1">
      <alignment horizontal="center" wrapText="1"/>
    </xf>
    <xf numFmtId="3" fontId="3" fillId="37" borderId="39" xfId="0" applyNumberFormat="1" applyFont="1" applyFill="1" applyBorder="1" applyAlignment="1">
      <alignment horizontal="center" vertical="center" wrapText="1"/>
    </xf>
    <xf numFmtId="3" fontId="3" fillId="37" borderId="16" xfId="0" applyNumberFormat="1" applyFont="1" applyFill="1" applyBorder="1" applyAlignment="1">
      <alignment horizontal="center" wrapText="1"/>
    </xf>
    <xf numFmtId="4" fontId="3" fillId="37" borderId="17" xfId="0" applyNumberFormat="1" applyFont="1" applyFill="1" applyBorder="1" applyAlignment="1">
      <alignment horizontal="center" vertical="center" wrapText="1"/>
    </xf>
    <xf numFmtId="3" fontId="3" fillId="37" borderId="10" xfId="0" applyNumberFormat="1" applyFont="1" applyFill="1" applyBorder="1" applyAlignment="1">
      <alignment horizontal="center" vertical="center"/>
    </xf>
    <xf numFmtId="0" fontId="9" fillId="34" borderId="51" xfId="51" applyFont="1" applyFill="1" applyBorder="1" applyAlignment="1">
      <alignment horizontal="left" wrapText="1"/>
      <protection/>
    </xf>
    <xf numFmtId="3" fontId="9" fillId="0" borderId="23" xfId="0" applyNumberFormat="1" applyFont="1" applyFill="1" applyBorder="1" applyAlignment="1">
      <alignment horizontal="center" vertical="center" wrapText="1"/>
    </xf>
    <xf numFmtId="3" fontId="3" fillId="0" borderId="64" xfId="51" applyNumberFormat="1" applyFont="1" applyFill="1" applyBorder="1" applyAlignment="1">
      <alignment horizontal="center" vertical="center"/>
      <protection/>
    </xf>
    <xf numFmtId="3" fontId="3" fillId="0" borderId="23" xfId="0" applyNumberFormat="1" applyFont="1" applyBorder="1" applyAlignment="1">
      <alignment horizontal="center" vertical="center" wrapText="1"/>
    </xf>
    <xf numFmtId="3" fontId="9" fillId="0" borderId="13" xfId="0" applyNumberFormat="1" applyFont="1" applyFill="1" applyBorder="1" applyAlignment="1">
      <alignment horizontal="center" vertical="center" wrapText="1"/>
    </xf>
    <xf numFmtId="3" fontId="3" fillId="0" borderId="71" xfId="51" applyNumberFormat="1" applyFont="1" applyFill="1" applyBorder="1" applyAlignment="1">
      <alignment horizontal="center" vertical="center"/>
      <protection/>
    </xf>
    <xf numFmtId="0" fontId="0" fillId="0" borderId="39" xfId="0" applyBorder="1" applyAlignment="1">
      <alignment/>
    </xf>
    <xf numFmtId="3" fontId="2" fillId="0" borderId="39" xfId="0" applyNumberFormat="1" applyFont="1" applyBorder="1" applyAlignment="1">
      <alignment horizontal="center" vertical="center" wrapText="1"/>
    </xf>
    <xf numFmtId="3" fontId="2" fillId="0" borderId="39" xfId="0" applyNumberFormat="1" applyFont="1" applyFill="1" applyBorder="1" applyAlignment="1">
      <alignment horizontal="center" vertical="center" wrapText="1"/>
    </xf>
    <xf numFmtId="200" fontId="2" fillId="0" borderId="16" xfId="61" applyNumberFormat="1" applyFont="1" applyBorder="1" applyAlignment="1">
      <alignment horizontal="center" vertical="center"/>
    </xf>
    <xf numFmtId="0" fontId="0" fillId="0" borderId="0" xfId="0" applyAlignment="1">
      <alignment/>
    </xf>
    <xf numFmtId="3" fontId="3" fillId="37" borderId="16" xfId="0" applyNumberFormat="1" applyFont="1" applyFill="1" applyBorder="1" applyAlignment="1">
      <alignment horizontal="center" wrapText="1"/>
    </xf>
    <xf numFmtId="0" fontId="13" fillId="36" borderId="21" xfId="0" applyFont="1" applyFill="1" applyBorder="1" applyAlignment="1">
      <alignment horizontal="center" vertical="center"/>
    </xf>
    <xf numFmtId="0" fontId="11" fillId="0" borderId="37" xfId="0" applyFont="1" applyBorder="1" applyAlignment="1">
      <alignment horizontal="center"/>
    </xf>
    <xf numFmtId="4" fontId="11" fillId="0" borderId="67" xfId="0" applyNumberFormat="1" applyFont="1" applyBorder="1" applyAlignment="1">
      <alignment/>
    </xf>
    <xf numFmtId="4" fontId="11" fillId="0" borderId="68" xfId="0" applyNumberFormat="1" applyFont="1" applyBorder="1" applyAlignment="1">
      <alignment/>
    </xf>
    <xf numFmtId="49" fontId="11" fillId="33" borderId="72" xfId="0" applyNumberFormat="1" applyFont="1" applyFill="1" applyBorder="1" applyAlignment="1">
      <alignment horizontal="center" vertical="center"/>
    </xf>
    <xf numFmtId="0" fontId="11" fillId="35" borderId="52" xfId="0" applyFont="1" applyFill="1" applyBorder="1" applyAlignment="1">
      <alignment/>
    </xf>
    <xf numFmtId="3" fontId="73" fillId="0" borderId="0" xfId="0" applyNumberFormat="1" applyFont="1" applyAlignment="1">
      <alignment/>
    </xf>
    <xf numFmtId="200" fontId="0" fillId="0" borderId="0" xfId="61" applyNumberFormat="1" applyFont="1" applyAlignment="1">
      <alignment/>
    </xf>
    <xf numFmtId="9" fontId="0" fillId="0" borderId="0" xfId="54" applyFont="1" applyAlignment="1">
      <alignment/>
    </xf>
    <xf numFmtId="3" fontId="22" fillId="0" borderId="73" xfId="51" applyNumberFormat="1" applyFont="1" applyFill="1" applyBorder="1" applyAlignment="1">
      <alignment horizontal="center" vertical="center" wrapText="1"/>
      <protection/>
    </xf>
    <xf numFmtId="3" fontId="22" fillId="0" borderId="0" xfId="51" applyNumberFormat="1" applyFont="1" applyFill="1" applyBorder="1" applyAlignment="1">
      <alignment horizontal="center" vertical="center" wrapText="1"/>
      <protection/>
    </xf>
    <xf numFmtId="9" fontId="0" fillId="0" borderId="0" xfId="0" applyNumberFormat="1" applyAlignment="1">
      <alignment/>
    </xf>
    <xf numFmtId="3" fontId="2" fillId="0" borderId="0" xfId="0" applyNumberFormat="1" applyFont="1" applyAlignment="1">
      <alignment horizontal="center"/>
    </xf>
    <xf numFmtId="3" fontId="3" fillId="38" borderId="16" xfId="0" applyNumberFormat="1" applyFont="1" applyFill="1" applyBorder="1" applyAlignment="1">
      <alignment horizontal="center" wrapText="1"/>
    </xf>
    <xf numFmtId="3" fontId="76" fillId="38" borderId="16" xfId="0" applyNumberFormat="1" applyFont="1" applyFill="1" applyBorder="1" applyAlignment="1">
      <alignment horizontal="center" wrapText="1"/>
    </xf>
    <xf numFmtId="3" fontId="2" fillId="38" borderId="16" xfId="0" applyNumberFormat="1" applyFont="1" applyFill="1" applyBorder="1" applyAlignment="1">
      <alignment horizontal="center" wrapText="1"/>
    </xf>
    <xf numFmtId="9" fontId="0" fillId="0" borderId="0" xfId="0" applyNumberFormat="1" applyBorder="1" applyAlignment="1">
      <alignment/>
    </xf>
    <xf numFmtId="3" fontId="0" fillId="38" borderId="0" xfId="0" applyNumberFormat="1" applyFill="1" applyBorder="1" applyAlignment="1">
      <alignment/>
    </xf>
    <xf numFmtId="0" fontId="0" fillId="0" borderId="0" xfId="0" applyBorder="1" applyAlignment="1">
      <alignment/>
    </xf>
    <xf numFmtId="3" fontId="22" fillId="38" borderId="16" xfId="51" applyNumberFormat="1" applyFont="1" applyFill="1" applyBorder="1" applyAlignment="1">
      <alignment horizontal="center" vertical="center" wrapText="1"/>
      <protection/>
    </xf>
    <xf numFmtId="2" fontId="17" fillId="0" borderId="0" xfId="0" applyNumberFormat="1" applyFont="1" applyAlignment="1">
      <alignment/>
    </xf>
    <xf numFmtId="3" fontId="3" fillId="38" borderId="16" xfId="0" applyNumberFormat="1" applyFont="1" applyFill="1" applyBorder="1" applyAlignment="1" applyProtection="1">
      <alignment horizontal="center" vertical="center"/>
      <protection/>
    </xf>
    <xf numFmtId="0" fontId="3" fillId="0" borderId="39" xfId="0" applyFont="1" applyBorder="1" applyAlignment="1">
      <alignment horizontal="center" vertical="center"/>
    </xf>
    <xf numFmtId="0" fontId="3" fillId="0" borderId="39" xfId="0" applyFont="1" applyBorder="1" applyAlignment="1">
      <alignment horizontal="center" vertical="center" wrapText="1"/>
    </xf>
    <xf numFmtId="3" fontId="2" fillId="0" borderId="39" xfId="0" applyNumberFormat="1" applyFont="1" applyBorder="1" applyAlignment="1">
      <alignment horizontal="center" vertical="center"/>
    </xf>
    <xf numFmtId="0" fontId="3" fillId="0" borderId="39" xfId="0" applyFont="1" applyBorder="1" applyAlignment="1">
      <alignment horizontal="left" vertical="center" wrapText="1"/>
    </xf>
    <xf numFmtId="0" fontId="2" fillId="0" borderId="39" xfId="0" applyFont="1" applyBorder="1" applyAlignment="1">
      <alignment/>
    </xf>
    <xf numFmtId="4" fontId="2" fillId="0" borderId="39" xfId="0" applyNumberFormat="1" applyFont="1" applyBorder="1" applyAlignment="1">
      <alignment horizontal="center" vertical="center"/>
    </xf>
    <xf numFmtId="4" fontId="11" fillId="39" borderId="54" xfId="0" applyNumberFormat="1" applyFont="1" applyFill="1" applyBorder="1" applyAlignment="1">
      <alignment/>
    </xf>
    <xf numFmtId="4" fontId="77" fillId="40" borderId="16" xfId="0" applyNumberFormat="1" applyFont="1" applyFill="1" applyBorder="1" applyAlignment="1">
      <alignment/>
    </xf>
    <xf numFmtId="3" fontId="3" fillId="0" borderId="11" xfId="0" applyNumberFormat="1" applyFont="1" applyBorder="1" applyAlignment="1">
      <alignment horizontal="center" vertical="center" wrapText="1"/>
    </xf>
    <xf numFmtId="4" fontId="9" fillId="0" borderId="69" xfId="0" applyNumberFormat="1" applyFont="1" applyBorder="1" applyAlignment="1">
      <alignment horizontal="center" vertical="center" wrapText="1"/>
    </xf>
    <xf numFmtId="4" fontId="9" fillId="0" borderId="39" xfId="0" applyNumberFormat="1" applyFont="1" applyBorder="1" applyAlignment="1">
      <alignment horizontal="center" vertical="center" wrapText="1"/>
    </xf>
    <xf numFmtId="0" fontId="16" fillId="0" borderId="11"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Alignment="1">
      <alignment/>
    </xf>
    <xf numFmtId="0" fontId="2" fillId="0" borderId="0" xfId="0" applyFont="1" applyFill="1" applyAlignment="1">
      <alignment vertical="top"/>
    </xf>
    <xf numFmtId="49" fontId="2" fillId="0" borderId="0" xfId="0" applyNumberFormat="1" applyFont="1" applyFill="1" applyAlignment="1">
      <alignment/>
    </xf>
    <xf numFmtId="0" fontId="2" fillId="0" borderId="0" xfId="0" applyFont="1" applyFill="1" applyAlignment="1">
      <alignment horizontal="center"/>
    </xf>
    <xf numFmtId="0" fontId="2" fillId="0" borderId="74" xfId="0" applyFont="1" applyFill="1" applyBorder="1" applyAlignment="1">
      <alignment/>
    </xf>
    <xf numFmtId="0" fontId="53" fillId="0" borderId="0" xfId="0" applyFont="1" applyFill="1" applyAlignment="1">
      <alignment/>
    </xf>
    <xf numFmtId="0" fontId="2" fillId="0" borderId="0" xfId="0" applyFont="1" applyFill="1" applyAlignment="1">
      <alignment horizontal="left"/>
    </xf>
    <xf numFmtId="3" fontId="3" fillId="0" borderId="0" xfId="0" applyNumberFormat="1" applyFont="1" applyFill="1" applyBorder="1" applyAlignment="1">
      <alignment horizontal="center" vertical="center"/>
    </xf>
    <xf numFmtId="3" fontId="3" fillId="0" borderId="39" xfId="0" applyNumberFormat="1" applyFont="1" applyFill="1" applyBorder="1" applyAlignment="1">
      <alignment horizontal="center" wrapText="1"/>
    </xf>
    <xf numFmtId="3" fontId="2" fillId="38" borderId="73" xfId="0" applyNumberFormat="1" applyFont="1" applyFill="1" applyBorder="1" applyAlignment="1">
      <alignment horizontal="center" vertical="center"/>
    </xf>
    <xf numFmtId="0" fontId="0" fillId="38" borderId="0" xfId="0" applyFill="1" applyAlignment="1">
      <alignment/>
    </xf>
    <xf numFmtId="3" fontId="0" fillId="38" borderId="0" xfId="0" applyNumberFormat="1" applyFill="1" applyAlignment="1">
      <alignment/>
    </xf>
    <xf numFmtId="3" fontId="3" fillId="38" borderId="16" xfId="0" applyNumberFormat="1" applyFont="1" applyFill="1" applyBorder="1" applyAlignment="1">
      <alignment horizontal="center" vertical="center" wrapText="1"/>
    </xf>
    <xf numFmtId="3" fontId="2" fillId="38" borderId="16" xfId="0" applyNumberFormat="1" applyFont="1" applyFill="1" applyBorder="1" applyAlignment="1">
      <alignment horizontal="center" vertical="center" wrapText="1"/>
    </xf>
    <xf numFmtId="0" fontId="2" fillId="38" borderId="17" xfId="0" applyFont="1" applyFill="1" applyBorder="1" applyAlignment="1">
      <alignment horizontal="center"/>
    </xf>
    <xf numFmtId="3" fontId="2" fillId="38" borderId="23" xfId="0" applyNumberFormat="1" applyFont="1" applyFill="1" applyBorder="1" applyAlignment="1">
      <alignment horizontal="center"/>
    </xf>
    <xf numFmtId="3" fontId="2" fillId="38" borderId="16" xfId="0" applyNumberFormat="1" applyFont="1" applyFill="1" applyBorder="1" applyAlignment="1">
      <alignment horizontal="center"/>
    </xf>
    <xf numFmtId="3" fontId="2" fillId="38" borderId="10" xfId="0" applyNumberFormat="1" applyFont="1" applyFill="1" applyBorder="1" applyAlignment="1">
      <alignment horizontal="center"/>
    </xf>
    <xf numFmtId="3" fontId="2" fillId="38" borderId="54" xfId="0" applyNumberFormat="1" applyFont="1" applyFill="1" applyBorder="1" applyAlignment="1">
      <alignment horizontal="center"/>
    </xf>
    <xf numFmtId="2" fontId="0" fillId="0" borderId="39" xfId="0" applyNumberFormat="1" applyBorder="1" applyAlignment="1">
      <alignment/>
    </xf>
    <xf numFmtId="3" fontId="3" fillId="38" borderId="16" xfId="0" applyNumberFormat="1" applyFont="1" applyFill="1" applyBorder="1" applyAlignment="1" applyProtection="1">
      <alignment horizontal="center" vertical="center"/>
      <protection locked="0"/>
    </xf>
    <xf numFmtId="4" fontId="11" fillId="0" borderId="39" xfId="0" applyNumberFormat="1" applyFont="1" applyBorder="1" applyAlignment="1">
      <alignment horizontal="right"/>
    </xf>
    <xf numFmtId="3" fontId="3" fillId="0" borderId="75" xfId="0" applyNumberFormat="1" applyFont="1" applyFill="1" applyBorder="1" applyAlignment="1">
      <alignment horizontal="center" vertical="center"/>
    </xf>
    <xf numFmtId="3" fontId="0" fillId="0" borderId="0" xfId="0" applyNumberFormat="1" applyFill="1" applyBorder="1" applyAlignment="1">
      <alignment/>
    </xf>
    <xf numFmtId="49" fontId="2" fillId="33" borderId="52" xfId="0" applyNumberFormat="1" applyFont="1" applyFill="1" applyBorder="1" applyAlignment="1" applyProtection="1">
      <alignment horizontal="center" vertical="center" wrapText="1"/>
      <protection/>
    </xf>
    <xf numFmtId="49" fontId="2" fillId="33" borderId="30" xfId="0" applyNumberFormat="1" applyFont="1" applyFill="1" applyBorder="1" applyAlignment="1" applyProtection="1">
      <alignment horizontal="center" vertical="center" wrapText="1"/>
      <protection/>
    </xf>
    <xf numFmtId="3" fontId="3" fillId="38" borderId="16" xfId="0" applyNumberFormat="1" applyFont="1" applyFill="1" applyBorder="1" applyAlignment="1">
      <alignment horizontal="center" vertical="center" wrapText="1"/>
    </xf>
    <xf numFmtId="3" fontId="3" fillId="0" borderId="51" xfId="0" applyNumberFormat="1" applyFont="1" applyBorder="1" applyAlignment="1">
      <alignment horizontal="center" vertical="center" wrapText="1"/>
    </xf>
    <xf numFmtId="4" fontId="9" fillId="0" borderId="62" xfId="0" applyNumberFormat="1" applyFont="1" applyBorder="1" applyAlignment="1">
      <alignment horizontal="center" vertical="center" wrapText="1"/>
    </xf>
    <xf numFmtId="200" fontId="0" fillId="0" borderId="0" xfId="61" applyNumberFormat="1" applyFont="1" applyBorder="1" applyAlignment="1">
      <alignment/>
    </xf>
    <xf numFmtId="3" fontId="3" fillId="38" borderId="73" xfId="0" applyNumberFormat="1" applyFont="1" applyFill="1" applyBorder="1" applyAlignment="1">
      <alignment horizontal="center" wrapText="1"/>
    </xf>
    <xf numFmtId="3" fontId="3" fillId="41" borderId="39" xfId="0" applyNumberFormat="1" applyFont="1" applyFill="1" applyBorder="1" applyAlignment="1">
      <alignment horizontal="center" vertical="center" wrapText="1"/>
    </xf>
    <xf numFmtId="3" fontId="3" fillId="38" borderId="50" xfId="0" applyNumberFormat="1" applyFont="1" applyFill="1" applyBorder="1" applyAlignment="1">
      <alignment horizontal="center" vertical="center" wrapText="1"/>
    </xf>
    <xf numFmtId="0" fontId="13" fillId="0" borderId="45" xfId="0" applyFont="1" applyBorder="1" applyAlignment="1">
      <alignment horizontal="center" wrapText="1"/>
    </xf>
    <xf numFmtId="0" fontId="2" fillId="0" borderId="0" xfId="0" applyFont="1" applyBorder="1" applyAlignment="1">
      <alignment horizontal="center"/>
    </xf>
    <xf numFmtId="0" fontId="2" fillId="0" borderId="0" xfId="0" applyFont="1" applyAlignment="1">
      <alignment horizontal="center" vertical="top"/>
    </xf>
    <xf numFmtId="0" fontId="18" fillId="0" borderId="0" xfId="0" applyFont="1" applyAlignment="1">
      <alignment/>
    </xf>
    <xf numFmtId="0" fontId="19" fillId="0" borderId="0" xfId="0" applyFont="1" applyAlignment="1">
      <alignment vertical="top"/>
    </xf>
    <xf numFmtId="0" fontId="18" fillId="0" borderId="0" xfId="0" applyFont="1" applyAlignment="1">
      <alignment vertical="top"/>
    </xf>
    <xf numFmtId="0" fontId="18" fillId="0" borderId="0" xfId="0" applyFont="1" applyAlignment="1">
      <alignment horizontal="center" vertical="top"/>
    </xf>
    <xf numFmtId="4" fontId="19" fillId="0" borderId="0" xfId="0" applyNumberFormat="1" applyFont="1" applyFill="1" applyAlignment="1">
      <alignment horizontal="right" vertical="center"/>
    </xf>
    <xf numFmtId="0" fontId="78" fillId="42" borderId="0" xfId="0" applyFont="1" applyFill="1" applyAlignment="1">
      <alignment/>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78" xfId="0" applyFont="1" applyBorder="1" applyAlignment="1">
      <alignment horizontal="center" vertical="center"/>
    </xf>
    <xf numFmtId="0" fontId="10" fillId="0" borderId="79" xfId="0" applyFont="1" applyBorder="1" applyAlignment="1">
      <alignment horizontal="center" vertical="center" wrapText="1"/>
    </xf>
    <xf numFmtId="0" fontId="26" fillId="0" borderId="80" xfId="0" applyFont="1" applyBorder="1" applyAlignment="1">
      <alignment horizontal="center" vertical="center" wrapText="1"/>
    </xf>
    <xf numFmtId="0" fontId="26" fillId="0" borderId="81" xfId="0" applyFont="1" applyBorder="1" applyAlignment="1">
      <alignment horizontal="center" vertical="center" wrapText="1"/>
    </xf>
    <xf numFmtId="4" fontId="27" fillId="0" borderId="80" xfId="0" applyNumberFormat="1" applyFont="1" applyFill="1" applyBorder="1" applyAlignment="1">
      <alignment horizontal="right" vertical="center" wrapText="1"/>
    </xf>
    <xf numFmtId="4" fontId="27" fillId="0" borderId="82" xfId="0" applyNumberFormat="1" applyFont="1" applyFill="1" applyBorder="1" applyAlignment="1">
      <alignment horizontal="right" vertical="center" wrapText="1"/>
    </xf>
    <xf numFmtId="0" fontId="28" fillId="0" borderId="0" xfId="0" applyFont="1" applyAlignment="1">
      <alignment vertical="center"/>
    </xf>
    <xf numFmtId="0" fontId="28" fillId="0" borderId="83" xfId="0" applyFont="1" applyBorder="1" applyAlignment="1">
      <alignment vertical="center"/>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84" xfId="0" applyFont="1" applyBorder="1" applyAlignment="1">
      <alignment horizontal="center" vertical="center"/>
    </xf>
    <xf numFmtId="0" fontId="10" fillId="0" borderId="87" xfId="0" applyFont="1" applyBorder="1" applyAlignment="1">
      <alignment horizontal="center" vertical="center" wrapText="1"/>
    </xf>
    <xf numFmtId="0" fontId="10" fillId="0" borderId="88" xfId="0" applyFont="1" applyBorder="1" applyAlignment="1">
      <alignment horizontal="center" vertical="center" wrapText="1"/>
    </xf>
    <xf numFmtId="4" fontId="27" fillId="0" borderId="88" xfId="0" applyNumberFormat="1" applyFont="1" applyFill="1" applyBorder="1" applyAlignment="1">
      <alignment horizontal="right" vertical="center" wrapText="1"/>
    </xf>
    <xf numFmtId="4" fontId="79" fillId="0" borderId="89" xfId="0" applyNumberFormat="1" applyFont="1" applyFill="1" applyBorder="1" applyAlignment="1">
      <alignment horizontal="right" vertical="center" wrapText="1"/>
    </xf>
    <xf numFmtId="0" fontId="3" fillId="0" borderId="90" xfId="0" applyFont="1" applyBorder="1" applyAlignment="1">
      <alignment horizontal="center" vertical="center"/>
    </xf>
    <xf numFmtId="0" fontId="2" fillId="0" borderId="91" xfId="0" applyFont="1" applyBorder="1" applyAlignment="1">
      <alignment horizontal="center" vertical="center"/>
    </xf>
    <xf numFmtId="0" fontId="3" fillId="0" borderId="92" xfId="0" applyFont="1" applyBorder="1" applyAlignment="1">
      <alignment horizontal="left" vertical="center"/>
    </xf>
    <xf numFmtId="0" fontId="19" fillId="0" borderId="93" xfId="0" applyFont="1" applyBorder="1" applyAlignment="1">
      <alignment horizontal="center" vertical="center"/>
    </xf>
    <xf numFmtId="0" fontId="19" fillId="0" borderId="94" xfId="0" applyFont="1" applyBorder="1" applyAlignment="1">
      <alignment horizontal="center" vertical="center"/>
    </xf>
    <xf numFmtId="0" fontId="19" fillId="0" borderId="92" xfId="0" applyFont="1" applyBorder="1" applyAlignment="1">
      <alignment horizontal="center" vertical="center"/>
    </xf>
    <xf numFmtId="4" fontId="4" fillId="0" borderId="94" xfId="0" applyNumberFormat="1" applyFont="1" applyBorder="1" applyAlignment="1">
      <alignment vertical="center"/>
    </xf>
    <xf numFmtId="4" fontId="4" fillId="0" borderId="95" xfId="0" applyNumberFormat="1" applyFont="1" applyBorder="1" applyAlignment="1">
      <alignment vertical="center"/>
    </xf>
    <xf numFmtId="0" fontId="4" fillId="0" borderId="0" xfId="0" applyFont="1" applyAlignment="1">
      <alignment vertical="center"/>
    </xf>
    <xf numFmtId="0" fontId="4" fillId="0" borderId="96" xfId="0" applyFont="1" applyBorder="1" applyAlignment="1">
      <alignment vertical="center"/>
    </xf>
    <xf numFmtId="0" fontId="4" fillId="0" borderId="0" xfId="0" applyFont="1" applyBorder="1" applyAlignment="1">
      <alignment vertical="center"/>
    </xf>
    <xf numFmtId="0" fontId="3" fillId="0" borderId="97" xfId="0" applyFont="1" applyBorder="1" applyAlignment="1">
      <alignment horizontal="center" vertical="center"/>
    </xf>
    <xf numFmtId="0" fontId="2" fillId="0" borderId="98" xfId="0" applyFont="1" applyBorder="1" applyAlignment="1">
      <alignment horizontal="center" vertical="center"/>
    </xf>
    <xf numFmtId="0" fontId="3" fillId="0" borderId="0" xfId="0" applyFont="1" applyBorder="1" applyAlignment="1">
      <alignment horizontal="left" vertical="center"/>
    </xf>
    <xf numFmtId="0" fontId="19" fillId="0" borderId="99" xfId="0" applyFont="1" applyBorder="1" applyAlignment="1">
      <alignment horizontal="center" vertical="center"/>
    </xf>
    <xf numFmtId="0" fontId="19" fillId="0" borderId="100" xfId="0" applyFont="1" applyBorder="1" applyAlignment="1">
      <alignment horizontal="center" vertical="center"/>
    </xf>
    <xf numFmtId="0" fontId="19" fillId="0" borderId="0" xfId="0" applyFont="1" applyBorder="1" applyAlignment="1">
      <alignment horizontal="center" vertical="center"/>
    </xf>
    <xf numFmtId="4" fontId="4" fillId="0" borderId="101" xfId="0" applyNumberFormat="1" applyFont="1" applyBorder="1" applyAlignment="1">
      <alignment vertical="center"/>
    </xf>
    <xf numFmtId="4" fontId="4" fillId="0" borderId="102" xfId="0" applyNumberFormat="1" applyFont="1" applyBorder="1" applyAlignment="1">
      <alignment vertical="center"/>
    </xf>
    <xf numFmtId="0" fontId="2" fillId="0" borderId="103" xfId="0" applyFont="1" applyBorder="1" applyAlignment="1">
      <alignment horizontal="right" vertical="center"/>
    </xf>
    <xf numFmtId="0" fontId="2" fillId="0" borderId="104" xfId="0" applyFont="1" applyBorder="1" applyAlignment="1" quotePrefix="1">
      <alignment horizontal="left"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4" xfId="0" applyFont="1" applyBorder="1" applyAlignment="1">
      <alignment vertical="center"/>
    </xf>
    <xf numFmtId="4" fontId="2" fillId="0" borderId="107" xfId="0" applyNumberFormat="1" applyFont="1" applyFill="1" applyBorder="1" applyAlignment="1">
      <alignment horizontal="center" vertical="center"/>
    </xf>
    <xf numFmtId="171" fontId="18" fillId="0" borderId="108" xfId="61" applyFont="1" applyFill="1" applyBorder="1" applyAlignment="1">
      <alignment horizontal="center" vertical="center"/>
    </xf>
    <xf numFmtId="171" fontId="18" fillId="0" borderId="104" xfId="61" applyFont="1" applyBorder="1" applyAlignment="1">
      <alignment horizontal="center" vertical="center"/>
    </xf>
    <xf numFmtId="4" fontId="2" fillId="0" borderId="108" xfId="0" applyNumberFormat="1" applyFont="1" applyBorder="1" applyAlignment="1">
      <alignment vertical="center"/>
    </xf>
    <xf numFmtId="4" fontId="2" fillId="0" borderId="109" xfId="0" applyNumberFormat="1" applyFont="1" applyBorder="1" applyAlignment="1">
      <alignment vertical="center"/>
    </xf>
    <xf numFmtId="0" fontId="15" fillId="0" borderId="0" xfId="0" applyFont="1" applyAlignment="1">
      <alignment vertical="center"/>
    </xf>
    <xf numFmtId="4" fontId="2" fillId="0" borderId="107" xfId="0" applyNumberFormat="1" applyFont="1" applyBorder="1" applyAlignment="1">
      <alignment horizontal="center" vertical="center"/>
    </xf>
    <xf numFmtId="0" fontId="2" fillId="0" borderId="110" xfId="0" applyFont="1" applyBorder="1" applyAlignment="1">
      <alignment horizontal="center" vertical="center"/>
    </xf>
    <xf numFmtId="0" fontId="2" fillId="0" borderId="105" xfId="0" applyFont="1" applyFill="1" applyBorder="1" applyAlignment="1">
      <alignment horizontal="center" vertical="center"/>
    </xf>
    <xf numFmtId="0" fontId="2" fillId="0" borderId="104" xfId="0" applyFont="1" applyFill="1" applyBorder="1" applyAlignment="1">
      <alignment vertical="center"/>
    </xf>
    <xf numFmtId="4" fontId="2" fillId="0" borderId="109" xfId="0" applyNumberFormat="1" applyFont="1" applyFill="1" applyBorder="1" applyAlignment="1">
      <alignment vertical="center"/>
    </xf>
    <xf numFmtId="0" fontId="0" fillId="0" borderId="0" xfId="0" applyFill="1" applyAlignment="1">
      <alignment vertical="center"/>
    </xf>
    <xf numFmtId="0" fontId="2" fillId="0" borderId="106" xfId="0" applyFont="1" applyFill="1" applyBorder="1" applyAlignment="1">
      <alignment horizontal="center" vertical="center"/>
    </xf>
    <xf numFmtId="0" fontId="2" fillId="0" borderId="111" xfId="0" applyFont="1" applyFill="1" applyBorder="1" applyAlignment="1">
      <alignment vertical="center"/>
    </xf>
    <xf numFmtId="0" fontId="0" fillId="0" borderId="96" xfId="0" applyFill="1" applyBorder="1" applyAlignment="1">
      <alignment vertical="center"/>
    </xf>
    <xf numFmtId="0" fontId="2" fillId="0" borderId="0" xfId="0" applyFont="1" applyFill="1" applyBorder="1" applyAlignment="1" quotePrefix="1">
      <alignment horizontal="center" vertical="center"/>
    </xf>
    <xf numFmtId="0" fontId="2" fillId="0" borderId="112" xfId="0" applyFont="1" applyFill="1" applyBorder="1" applyAlignment="1">
      <alignment horizontal="center" vertical="center"/>
    </xf>
    <xf numFmtId="0" fontId="2" fillId="0" borderId="113" xfId="0" applyFont="1" applyFill="1" applyBorder="1" applyAlignment="1">
      <alignment horizontal="center" vertical="center"/>
    </xf>
    <xf numFmtId="0" fontId="2" fillId="0" borderId="114" xfId="0" applyFont="1" applyFill="1" applyBorder="1" applyAlignment="1">
      <alignment vertical="center"/>
    </xf>
    <xf numFmtId="4" fontId="2" fillId="0" borderId="115" xfId="0" applyNumberFormat="1" applyFont="1" applyBorder="1" applyAlignment="1">
      <alignment horizontal="center" vertical="center"/>
    </xf>
    <xf numFmtId="171" fontId="18" fillId="0" borderId="116" xfId="61" applyFont="1" applyBorder="1" applyAlignment="1">
      <alignment horizontal="center" vertical="center"/>
    </xf>
    <xf numFmtId="171" fontId="18" fillId="0" borderId="117" xfId="61" applyFont="1" applyBorder="1" applyAlignment="1">
      <alignment horizontal="center" vertical="center"/>
    </xf>
    <xf numFmtId="4" fontId="2" fillId="0" borderId="116" xfId="0" applyNumberFormat="1" applyFont="1" applyFill="1" applyBorder="1" applyAlignment="1">
      <alignment vertical="center"/>
    </xf>
    <xf numFmtId="4" fontId="2" fillId="0" borderId="118" xfId="0" applyNumberFormat="1" applyFont="1" applyFill="1" applyBorder="1" applyAlignment="1">
      <alignment vertical="center"/>
    </xf>
    <xf numFmtId="171" fontId="19" fillId="0" borderId="94" xfId="61" applyFont="1" applyBorder="1" applyAlignment="1">
      <alignment horizontal="center" vertical="center"/>
    </xf>
    <xf numFmtId="171" fontId="19" fillId="0" borderId="92" xfId="61" applyFont="1" applyBorder="1" applyAlignment="1">
      <alignment horizontal="center" vertical="center"/>
    </xf>
    <xf numFmtId="4" fontId="2" fillId="0" borderId="94" xfId="0" applyNumberFormat="1" applyFont="1" applyBorder="1" applyAlignment="1">
      <alignment vertical="center"/>
    </xf>
    <xf numFmtId="4" fontId="2" fillId="0" borderId="95" xfId="0" applyNumberFormat="1" applyFont="1" applyBorder="1" applyAlignment="1">
      <alignment vertical="center"/>
    </xf>
    <xf numFmtId="0" fontId="4" fillId="0" borderId="119" xfId="0" applyFont="1" applyBorder="1" applyAlignment="1">
      <alignment vertical="center"/>
    </xf>
    <xf numFmtId="0" fontId="3" fillId="0" borderId="120" xfId="0" applyFont="1" applyBorder="1" applyAlignment="1">
      <alignment horizontal="center" vertical="center"/>
    </xf>
    <xf numFmtId="0" fontId="2" fillId="0" borderId="121" xfId="0" applyFont="1" applyBorder="1" applyAlignment="1">
      <alignment horizontal="center" vertical="center"/>
    </xf>
    <xf numFmtId="0" fontId="3" fillId="0" borderId="119" xfId="0" applyFont="1" applyBorder="1" applyAlignment="1">
      <alignment horizontal="left" vertical="center"/>
    </xf>
    <xf numFmtId="0" fontId="19" fillId="0" borderId="122" xfId="0" applyFont="1" applyBorder="1" applyAlignment="1">
      <alignment horizontal="center" vertical="center"/>
    </xf>
    <xf numFmtId="171" fontId="19" fillId="0" borderId="101" xfId="61" applyFont="1" applyBorder="1" applyAlignment="1">
      <alignment horizontal="center" vertical="center"/>
    </xf>
    <xf numFmtId="171" fontId="19" fillId="0" borderId="119" xfId="61" applyFont="1" applyBorder="1" applyAlignment="1">
      <alignment horizontal="center" vertical="center"/>
    </xf>
    <xf numFmtId="4" fontId="2" fillId="0" borderId="101" xfId="0" applyNumberFormat="1" applyFont="1" applyBorder="1" applyAlignment="1">
      <alignment vertical="center"/>
    </xf>
    <xf numFmtId="4" fontId="2" fillId="0" borderId="102" xfId="0" applyNumberFormat="1" applyFont="1" applyBorder="1" applyAlignment="1">
      <alignment vertical="center"/>
    </xf>
    <xf numFmtId="0" fontId="2" fillId="0" borderId="104" xfId="0" applyFont="1" applyBorder="1" applyAlignment="1">
      <alignment vertical="center" wrapText="1"/>
    </xf>
    <xf numFmtId="171" fontId="18" fillId="0" borderId="108" xfId="61" applyFont="1" applyBorder="1" applyAlignment="1">
      <alignment horizontal="center" vertical="center"/>
    </xf>
    <xf numFmtId="4" fontId="2" fillId="0" borderId="109" xfId="0" applyNumberFormat="1" applyFont="1" applyBorder="1" applyAlignment="1">
      <alignment horizontal="right" vertical="center"/>
    </xf>
    <xf numFmtId="0" fontId="0" fillId="0" borderId="0" xfId="0" applyBorder="1" applyAlignment="1">
      <alignment vertical="center"/>
    </xf>
    <xf numFmtId="0" fontId="2" fillId="0" borderId="119" xfId="0" applyFont="1" applyBorder="1" applyAlignment="1">
      <alignment vertical="center" wrapText="1"/>
    </xf>
    <xf numFmtId="4" fontId="2" fillId="0" borderId="122" xfId="0" applyNumberFormat="1" applyFont="1" applyFill="1" applyBorder="1" applyAlignment="1">
      <alignment horizontal="center" vertical="center"/>
    </xf>
    <xf numFmtId="4" fontId="2" fillId="0" borderId="102" xfId="0" applyNumberFormat="1" applyFont="1" applyBorder="1" applyAlignment="1">
      <alignment horizontal="right" vertical="center"/>
    </xf>
    <xf numFmtId="0" fontId="2" fillId="0" borderId="104" xfId="0" applyFont="1" applyFill="1" applyBorder="1" applyAlignment="1">
      <alignment vertical="center" wrapText="1"/>
    </xf>
    <xf numFmtId="0" fontId="15" fillId="0" borderId="0" xfId="0" applyFont="1" applyBorder="1" applyAlignment="1">
      <alignment vertical="center"/>
    </xf>
    <xf numFmtId="0" fontId="2" fillId="0" borderId="117" xfId="0" applyFont="1" applyBorder="1" applyAlignment="1" quotePrefix="1">
      <alignment horizontal="left"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7" xfId="0" applyFont="1" applyBorder="1" applyAlignment="1">
      <alignment vertical="center" wrapText="1"/>
    </xf>
    <xf numFmtId="4" fontId="2" fillId="0" borderId="115" xfId="0" applyNumberFormat="1" applyFont="1" applyFill="1" applyBorder="1" applyAlignment="1">
      <alignment horizontal="center" vertical="center"/>
    </xf>
    <xf numFmtId="0" fontId="3" fillId="0" borderId="90" xfId="0" applyFont="1" applyBorder="1" applyAlignment="1">
      <alignment horizontal="center" vertical="center"/>
    </xf>
    <xf numFmtId="171" fontId="18" fillId="0" borderId="94" xfId="61" applyFont="1" applyBorder="1" applyAlignment="1">
      <alignment horizontal="center" vertical="center"/>
    </xf>
    <xf numFmtId="171" fontId="18" fillId="0" borderId="123" xfId="61" applyFont="1" applyBorder="1" applyAlignment="1">
      <alignment horizontal="center" vertical="center"/>
    </xf>
    <xf numFmtId="0" fontId="3" fillId="0" borderId="120" xfId="0" applyFont="1" applyBorder="1" applyAlignment="1">
      <alignment horizontal="center" vertical="center"/>
    </xf>
    <xf numFmtId="171" fontId="18" fillId="0" borderId="104" xfId="61" applyFont="1" applyFill="1" applyBorder="1" applyAlignment="1">
      <alignment horizontal="center" vertical="center"/>
    </xf>
    <xf numFmtId="171" fontId="18" fillId="0" borderId="124" xfId="61" applyFont="1" applyFill="1" applyBorder="1" applyAlignment="1">
      <alignment horizontal="center" vertical="center"/>
    </xf>
    <xf numFmtId="0" fontId="2" fillId="0" borderId="125" xfId="0" applyFont="1" applyBorder="1" applyAlignment="1">
      <alignment horizontal="right" vertical="center"/>
    </xf>
    <xf numFmtId="0" fontId="2" fillId="0" borderId="117" xfId="0" applyFont="1" applyBorder="1" applyAlignment="1" quotePrefix="1">
      <alignment horizontal="center" vertical="center"/>
    </xf>
    <xf numFmtId="171" fontId="18" fillId="0" borderId="116" xfId="61" applyFont="1" applyFill="1" applyBorder="1" applyAlignment="1">
      <alignment horizontal="center" vertical="center"/>
    </xf>
    <xf numFmtId="171" fontId="18" fillId="0" borderId="117" xfId="61" applyFont="1" applyFill="1" applyBorder="1" applyAlignment="1">
      <alignment horizontal="center" vertical="center"/>
    </xf>
    <xf numFmtId="4" fontId="2" fillId="0" borderId="116" xfId="0" applyNumberFormat="1" applyFont="1" applyBorder="1" applyAlignment="1">
      <alignment vertical="center"/>
    </xf>
    <xf numFmtId="4" fontId="2" fillId="0" borderId="118" xfId="0" applyNumberFormat="1" applyFont="1" applyBorder="1" applyAlignment="1">
      <alignment vertical="center"/>
    </xf>
    <xf numFmtId="0" fontId="15" fillId="0" borderId="96" xfId="0" applyFont="1" applyBorder="1" applyAlignment="1">
      <alignment vertical="center"/>
    </xf>
    <xf numFmtId="0" fontId="2" fillId="0" borderId="105" xfId="0" applyFont="1" applyBorder="1" applyAlignment="1">
      <alignment horizontal="center" vertical="center" wrapText="1"/>
    </xf>
    <xf numFmtId="0" fontId="2" fillId="0" borderId="111" xfId="0" applyFont="1" applyFill="1" applyBorder="1" applyAlignment="1">
      <alignment vertical="center" wrapText="1"/>
    </xf>
    <xf numFmtId="0" fontId="2" fillId="0" borderId="126" xfId="0" applyFont="1" applyFill="1" applyBorder="1" applyAlignment="1">
      <alignment vertical="center" wrapText="1"/>
    </xf>
    <xf numFmtId="0" fontId="2" fillId="0" borderId="0" xfId="0" applyFont="1" applyBorder="1" applyAlignment="1" quotePrefix="1">
      <alignment horizontal="center" vertical="center"/>
    </xf>
    <xf numFmtId="0" fontId="3" fillId="0" borderId="96" xfId="0" applyFont="1" applyBorder="1" applyAlignment="1">
      <alignment horizontal="center" vertical="center"/>
    </xf>
    <xf numFmtId="171" fontId="18" fillId="0" borderId="127" xfId="61" applyFont="1" applyFill="1" applyBorder="1" applyAlignment="1">
      <alignment horizontal="center" vertical="center"/>
    </xf>
    <xf numFmtId="0" fontId="18" fillId="0" borderId="105" xfId="0" applyFont="1" applyFill="1" applyBorder="1" applyAlignment="1">
      <alignment horizontal="center" vertical="center"/>
    </xf>
    <xf numFmtId="4" fontId="2" fillId="0" borderId="106" xfId="0" applyNumberFormat="1" applyFont="1" applyFill="1" applyBorder="1" applyAlignment="1">
      <alignment horizontal="center" vertical="center"/>
    </xf>
    <xf numFmtId="4" fontId="2" fillId="0" borderId="107" xfId="0" applyNumberFormat="1" applyFont="1" applyFill="1" applyBorder="1" applyAlignment="1">
      <alignment horizontal="center" vertical="center"/>
    </xf>
    <xf numFmtId="0" fontId="18" fillId="0" borderId="112" xfId="0" applyFont="1" applyFill="1" applyBorder="1" applyAlignment="1">
      <alignment horizontal="center" vertical="center"/>
    </xf>
    <xf numFmtId="0" fontId="2" fillId="38" borderId="104" xfId="0" applyFont="1" applyFill="1" applyBorder="1" applyAlignment="1">
      <alignment vertical="center" wrapText="1"/>
    </xf>
    <xf numFmtId="0" fontId="2" fillId="0" borderId="120" xfId="0" applyFont="1" applyBorder="1" applyAlignment="1">
      <alignment horizontal="center" vertical="center"/>
    </xf>
    <xf numFmtId="2" fontId="18" fillId="0" borderId="127" xfId="61" applyNumberFormat="1" applyFont="1" applyFill="1" applyBorder="1" applyAlignment="1">
      <alignment horizontal="center" vertical="center"/>
    </xf>
    <xf numFmtId="171" fontId="18" fillId="0" borderId="119" xfId="61" applyFont="1" applyFill="1" applyBorder="1" applyAlignment="1">
      <alignment horizontal="center" vertical="center"/>
    </xf>
    <xf numFmtId="4" fontId="2" fillId="0" borderId="102" xfId="0" applyNumberFormat="1" applyFont="1" applyBorder="1" applyAlignment="1">
      <alignment horizontal="right" vertical="center" wrapText="1"/>
    </xf>
    <xf numFmtId="0" fontId="2" fillId="0" borderId="111" xfId="0" applyFont="1" applyBorder="1" applyAlignment="1">
      <alignment vertical="center" wrapText="1"/>
    </xf>
    <xf numFmtId="0" fontId="2" fillId="0" borderId="97" xfId="0" applyFont="1" applyBorder="1" applyAlignment="1">
      <alignment horizontal="center" vertical="center"/>
    </xf>
    <xf numFmtId="0" fontId="2" fillId="0" borderId="98" xfId="0" applyFont="1" applyFill="1" applyBorder="1" applyAlignment="1">
      <alignment horizontal="center" vertical="center"/>
    </xf>
    <xf numFmtId="0" fontId="2" fillId="0" borderId="128" xfId="0" applyFont="1" applyFill="1" applyBorder="1" applyAlignment="1">
      <alignment vertical="center"/>
    </xf>
    <xf numFmtId="0" fontId="2" fillId="0" borderId="96" xfId="0" applyFont="1" applyBorder="1" applyAlignment="1">
      <alignment horizontal="right" vertical="center"/>
    </xf>
    <xf numFmtId="0" fontId="2" fillId="0" borderId="0" xfId="0" applyFont="1" applyBorder="1" applyAlignment="1" quotePrefix="1">
      <alignment horizontal="left" vertical="center"/>
    </xf>
    <xf numFmtId="4" fontId="2" fillId="0" borderId="99" xfId="0" applyNumberFormat="1" applyFont="1" applyFill="1" applyBorder="1" applyAlignment="1">
      <alignment horizontal="center" vertical="center"/>
    </xf>
    <xf numFmtId="171" fontId="18" fillId="0" borderId="100" xfId="61" applyFont="1" applyBorder="1" applyAlignment="1">
      <alignment horizontal="center" vertical="center"/>
    </xf>
    <xf numFmtId="171" fontId="18" fillId="0" borderId="0" xfId="61" applyFont="1" applyBorder="1" applyAlignment="1">
      <alignment horizontal="center" vertical="center"/>
    </xf>
    <xf numFmtId="4" fontId="2" fillId="0" borderId="100" xfId="0" applyNumberFormat="1" applyFont="1" applyBorder="1" applyAlignment="1">
      <alignment vertical="center"/>
    </xf>
    <xf numFmtId="4" fontId="2" fillId="0" borderId="129" xfId="0" applyNumberFormat="1" applyFont="1" applyFill="1" applyBorder="1" applyAlignment="1">
      <alignment vertical="center"/>
    </xf>
    <xf numFmtId="0" fontId="3" fillId="0" borderId="130" xfId="0" applyFont="1" applyBorder="1" applyAlignment="1">
      <alignment horizontal="left" vertical="center"/>
    </xf>
    <xf numFmtId="4" fontId="2" fillId="0" borderId="93" xfId="0" applyNumberFormat="1" applyFont="1" applyFill="1" applyBorder="1" applyAlignment="1">
      <alignment horizontal="center" vertical="center"/>
    </xf>
    <xf numFmtId="171" fontId="18" fillId="0" borderId="94" xfId="61" applyFont="1" applyFill="1" applyBorder="1" applyAlignment="1">
      <alignment horizontal="center" vertical="center"/>
    </xf>
    <xf numFmtId="171" fontId="18" fillId="0" borderId="92" xfId="61" applyFont="1" applyFill="1" applyBorder="1" applyAlignment="1">
      <alignment horizontal="center" vertical="center"/>
    </xf>
    <xf numFmtId="0" fontId="2" fillId="0" borderId="119" xfId="0" applyFont="1" applyFill="1" applyBorder="1" applyAlignment="1">
      <alignment horizontal="center" vertical="center"/>
    </xf>
    <xf numFmtId="0" fontId="3" fillId="0" borderId="131" xfId="0" applyFont="1" applyBorder="1" applyAlignment="1">
      <alignment horizontal="left" vertical="center"/>
    </xf>
    <xf numFmtId="171" fontId="18" fillId="0" borderId="101" xfId="61" applyFont="1" applyFill="1" applyBorder="1" applyAlignment="1">
      <alignment horizontal="center" vertical="center"/>
    </xf>
    <xf numFmtId="0" fontId="2" fillId="38" borderId="105" xfId="0" applyFont="1" applyFill="1" applyBorder="1" applyAlignment="1">
      <alignment horizontal="center" vertical="center"/>
    </xf>
    <xf numFmtId="0" fontId="0" fillId="0" borderId="96" xfId="0" applyBorder="1" applyAlignment="1">
      <alignment vertical="center"/>
    </xf>
    <xf numFmtId="0" fontId="2" fillId="0" borderId="126" xfId="0" applyFont="1" applyFill="1" applyBorder="1" applyAlignment="1">
      <alignment vertical="center"/>
    </xf>
    <xf numFmtId="0" fontId="3" fillId="0" borderId="0" xfId="0" applyFont="1" applyBorder="1" applyAlignment="1">
      <alignment horizontal="center" vertical="center"/>
    </xf>
    <xf numFmtId="0" fontId="2" fillId="0" borderId="132" xfId="0" applyFont="1" applyBorder="1" applyAlignment="1">
      <alignment horizontal="right" vertical="center"/>
    </xf>
    <xf numFmtId="171" fontId="18" fillId="0" borderId="101" xfId="61" applyFont="1" applyBorder="1" applyAlignment="1">
      <alignment horizontal="center" vertical="center"/>
    </xf>
    <xf numFmtId="171" fontId="18" fillId="0" borderId="119" xfId="61" applyFont="1" applyBorder="1" applyAlignment="1">
      <alignment horizontal="center" vertical="center"/>
    </xf>
    <xf numFmtId="0" fontId="2" fillId="0" borderId="128" xfId="0" applyFont="1" applyBorder="1" applyAlignment="1">
      <alignment vertical="center" wrapText="1"/>
    </xf>
    <xf numFmtId="4" fontId="2" fillId="0" borderId="99" xfId="0" applyNumberFormat="1" applyFont="1" applyBorder="1" applyAlignment="1">
      <alignment horizontal="center" vertical="center"/>
    </xf>
    <xf numFmtId="4" fontId="2" fillId="0" borderId="129" xfId="0" applyNumberFormat="1" applyFont="1" applyBorder="1" applyAlignment="1">
      <alignment vertical="center"/>
    </xf>
    <xf numFmtId="0" fontId="2" fillId="0" borderId="111" xfId="0" applyFont="1" applyBorder="1" applyAlignment="1">
      <alignment vertical="center"/>
    </xf>
    <xf numFmtId="171" fontId="18" fillId="38" borderId="124" xfId="61" applyFont="1" applyFill="1" applyBorder="1" applyAlignment="1">
      <alignment horizontal="center" vertical="center"/>
    </xf>
    <xf numFmtId="4" fontId="2" fillId="38" borderId="107" xfId="0" applyNumberFormat="1" applyFont="1" applyFill="1" applyBorder="1" applyAlignment="1">
      <alignment horizontal="center" vertical="center"/>
    </xf>
    <xf numFmtId="0" fontId="2" fillId="38" borderId="106" xfId="0" applyFont="1" applyFill="1" applyBorder="1" applyAlignment="1">
      <alignment horizontal="center" vertical="center"/>
    </xf>
    <xf numFmtId="0" fontId="2" fillId="38" borderId="111" xfId="0" applyFont="1" applyFill="1" applyBorder="1" applyAlignment="1">
      <alignment vertical="center"/>
    </xf>
    <xf numFmtId="171" fontId="18" fillId="38" borderId="127" xfId="61" applyFont="1" applyFill="1" applyBorder="1" applyAlignment="1">
      <alignment horizontal="center" vertical="center"/>
    </xf>
    <xf numFmtId="4" fontId="2" fillId="38" borderId="108" xfId="0" applyNumberFormat="1" applyFont="1" applyFill="1" applyBorder="1" applyAlignment="1">
      <alignment vertical="center"/>
    </xf>
    <xf numFmtId="4" fontId="2" fillId="38" borderId="109" xfId="0" applyNumberFormat="1" applyFont="1" applyFill="1" applyBorder="1" applyAlignment="1">
      <alignment vertical="center"/>
    </xf>
    <xf numFmtId="14" fontId="2" fillId="0" borderId="105" xfId="0" applyNumberFormat="1" applyFont="1" applyBorder="1" applyAlignment="1">
      <alignment horizontal="center" vertical="center"/>
    </xf>
    <xf numFmtId="4" fontId="2" fillId="0" borderId="124" xfId="0" applyNumberFormat="1" applyFont="1" applyBorder="1" applyAlignment="1">
      <alignment vertical="center"/>
    </xf>
    <xf numFmtId="171" fontId="18" fillId="0" borderId="124" xfId="61" applyFont="1" applyBorder="1" applyAlignment="1">
      <alignment horizontal="center" vertical="center"/>
    </xf>
    <xf numFmtId="4" fontId="2" fillId="0" borderId="124" xfId="0" applyNumberFormat="1" applyFont="1" applyFill="1" applyBorder="1" applyAlignment="1">
      <alignment vertical="center"/>
    </xf>
    <xf numFmtId="4" fontId="2" fillId="0" borderId="133" xfId="0" applyNumberFormat="1" applyFont="1" applyFill="1" applyBorder="1" applyAlignment="1">
      <alignment vertical="center"/>
    </xf>
    <xf numFmtId="0" fontId="2" fillId="38" borderId="112" xfId="0" applyFont="1" applyFill="1" applyBorder="1" applyAlignment="1">
      <alignment horizontal="center" vertical="center"/>
    </xf>
    <xf numFmtId="0" fontId="2" fillId="38" borderId="113" xfId="0" applyFont="1" applyFill="1" applyBorder="1" applyAlignment="1">
      <alignment horizontal="center" vertical="center"/>
    </xf>
    <xf numFmtId="0" fontId="2" fillId="38" borderId="126" xfId="0" applyFont="1" applyFill="1" applyBorder="1" applyAlignment="1">
      <alignment vertical="center"/>
    </xf>
    <xf numFmtId="0" fontId="10" fillId="0" borderId="90"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3" xfId="0" applyFont="1" applyBorder="1" applyAlignment="1">
      <alignment horizontal="center" vertical="center" wrapText="1"/>
    </xf>
    <xf numFmtId="171" fontId="27" fillId="0" borderId="94" xfId="61" applyFont="1" applyBorder="1" applyAlignment="1">
      <alignment horizontal="center" vertical="center" wrapText="1"/>
    </xf>
    <xf numFmtId="171" fontId="27" fillId="0" borderId="92" xfId="61" applyFont="1" applyBorder="1" applyAlignment="1">
      <alignment horizontal="center" vertical="center" wrapText="1"/>
    </xf>
    <xf numFmtId="4" fontId="27" fillId="0" borderId="94" xfId="0" applyNumberFormat="1" applyFont="1" applyFill="1" applyBorder="1" applyAlignment="1">
      <alignment horizontal="right" vertical="center" wrapText="1"/>
    </xf>
    <xf numFmtId="4" fontId="27" fillId="0" borderId="95" xfId="0" applyNumberFormat="1" applyFont="1" applyFill="1" applyBorder="1" applyAlignment="1">
      <alignment horizontal="right" vertical="center" wrapText="1"/>
    </xf>
    <xf numFmtId="0" fontId="28" fillId="0" borderId="96" xfId="0" applyFont="1" applyBorder="1" applyAlignment="1">
      <alignment vertical="center"/>
    </xf>
    <xf numFmtId="0" fontId="2" fillId="0" borderId="119" xfId="0" applyFont="1" applyBorder="1" applyAlignment="1" quotePrefix="1">
      <alignment horizontal="center" vertical="center"/>
    </xf>
    <xf numFmtId="0" fontId="10" fillId="0" borderId="120" xfId="0" applyFont="1" applyBorder="1" applyAlignment="1">
      <alignment horizontal="center" vertical="center" wrapText="1"/>
    </xf>
    <xf numFmtId="0" fontId="10" fillId="0" borderId="121" xfId="0" applyFont="1" applyBorder="1" applyAlignment="1">
      <alignment horizontal="center" vertical="center" wrapText="1"/>
    </xf>
    <xf numFmtId="0" fontId="10" fillId="0" borderId="122" xfId="0" applyFont="1" applyBorder="1" applyAlignment="1">
      <alignment horizontal="center" vertical="center" wrapText="1"/>
    </xf>
    <xf numFmtId="171" fontId="27" fillId="0" borderId="101" xfId="61" applyFont="1" applyBorder="1" applyAlignment="1">
      <alignment horizontal="center" vertical="center" wrapText="1"/>
    </xf>
    <xf numFmtId="171" fontId="27" fillId="0" borderId="119" xfId="61" applyFont="1" applyBorder="1" applyAlignment="1">
      <alignment horizontal="center" vertical="center" wrapText="1"/>
    </xf>
    <xf numFmtId="4" fontId="27" fillId="0" borderId="101" xfId="0" applyNumberFormat="1" applyFont="1" applyFill="1" applyBorder="1" applyAlignment="1">
      <alignment horizontal="right" vertical="center" wrapText="1"/>
    </xf>
    <xf numFmtId="4" fontId="27" fillId="0" borderId="102" xfId="0" applyNumberFormat="1" applyFont="1" applyFill="1" applyBorder="1" applyAlignment="1">
      <alignment horizontal="right" vertical="center" wrapText="1"/>
    </xf>
    <xf numFmtId="171" fontId="18" fillId="38" borderId="104" xfId="61" applyFont="1" applyFill="1" applyBorder="1" applyAlignment="1">
      <alignment horizontal="center" vertical="center"/>
    </xf>
    <xf numFmtId="4" fontId="2" fillId="38" borderId="118" xfId="0" applyNumberFormat="1" applyFont="1" applyFill="1" applyBorder="1" applyAlignment="1">
      <alignment vertical="center"/>
    </xf>
    <xf numFmtId="0" fontId="2" fillId="38" borderId="112" xfId="0" applyFont="1" applyFill="1" applyBorder="1" applyAlignment="1">
      <alignment horizontal="center" vertical="center"/>
    </xf>
    <xf numFmtId="0" fontId="2" fillId="38" borderId="113" xfId="0" applyFont="1" applyFill="1" applyBorder="1" applyAlignment="1">
      <alignment horizontal="center" vertical="center"/>
    </xf>
    <xf numFmtId="0" fontId="2" fillId="38" borderId="126" xfId="0" applyFont="1" applyFill="1" applyBorder="1" applyAlignment="1">
      <alignment vertical="center"/>
    </xf>
    <xf numFmtId="4" fontId="2" fillId="38" borderId="107" xfId="0" applyNumberFormat="1" applyFont="1" applyFill="1" applyBorder="1" applyAlignment="1">
      <alignment horizontal="center" vertical="center"/>
    </xf>
    <xf numFmtId="171" fontId="18" fillId="38" borderId="127" xfId="61" applyFont="1" applyFill="1" applyBorder="1" applyAlignment="1">
      <alignment horizontal="center" vertical="center"/>
    </xf>
    <xf numFmtId="171" fontId="18" fillId="38" borderId="124" xfId="61" applyFont="1" applyFill="1" applyBorder="1" applyAlignment="1">
      <alignment horizontal="center" vertical="center"/>
    </xf>
    <xf numFmtId="4" fontId="2" fillId="38" borderId="118" xfId="0" applyNumberFormat="1" applyFont="1" applyFill="1" applyBorder="1" applyAlignment="1">
      <alignment vertical="center"/>
    </xf>
    <xf numFmtId="0" fontId="2" fillId="0" borderId="126" xfId="0" applyFont="1" applyBorder="1" applyAlignment="1">
      <alignment vertical="center"/>
    </xf>
    <xf numFmtId="0" fontId="2" fillId="0" borderId="90" xfId="0" applyFont="1" applyBorder="1" applyAlignment="1">
      <alignment horizontal="center" vertical="center"/>
    </xf>
    <xf numFmtId="4" fontId="2" fillId="0" borderId="93" xfId="0" applyNumberFormat="1" applyFont="1" applyBorder="1" applyAlignment="1">
      <alignment horizontal="center" vertical="center"/>
    </xf>
    <xf numFmtId="171" fontId="18" fillId="0" borderId="92" xfId="61" applyFont="1" applyBorder="1" applyAlignment="1">
      <alignment horizontal="center" vertical="center"/>
    </xf>
    <xf numFmtId="4" fontId="2" fillId="0" borderId="122" xfId="0" applyNumberFormat="1" applyFont="1" applyBorder="1" applyAlignment="1">
      <alignment horizontal="center" vertical="center"/>
    </xf>
    <xf numFmtId="0" fontId="2" fillId="38" borderId="103" xfId="0" applyFont="1" applyFill="1" applyBorder="1" applyAlignment="1">
      <alignment horizontal="right" vertical="center"/>
    </xf>
    <xf numFmtId="0" fontId="2" fillId="38" borderId="104" xfId="0" applyFont="1" applyFill="1" applyBorder="1" applyAlignment="1" quotePrefix="1">
      <alignment horizontal="left" vertical="center"/>
    </xf>
    <xf numFmtId="171" fontId="18" fillId="38" borderId="108" xfId="61" applyFont="1" applyFill="1" applyBorder="1" applyAlignment="1">
      <alignment horizontal="center" vertical="center"/>
    </xf>
    <xf numFmtId="4" fontId="2" fillId="0" borderId="108" xfId="0" applyNumberFormat="1" applyFont="1" applyFill="1" applyBorder="1" applyAlignment="1">
      <alignment vertical="center"/>
    </xf>
    <xf numFmtId="0" fontId="2" fillId="38" borderId="105" xfId="0" applyFont="1" applyFill="1" applyBorder="1" applyAlignment="1">
      <alignment horizontal="center" vertical="center"/>
    </xf>
    <xf numFmtId="0" fontId="2" fillId="38" borderId="106" xfId="0" applyFont="1" applyFill="1" applyBorder="1" applyAlignment="1">
      <alignment horizontal="center" vertical="center"/>
    </xf>
    <xf numFmtId="0" fontId="2" fillId="38" borderId="111" xfId="0" applyFont="1" applyFill="1" applyBorder="1" applyAlignment="1">
      <alignment vertical="center"/>
    </xf>
    <xf numFmtId="4" fontId="2" fillId="38" borderId="109" xfId="0" applyNumberFormat="1" applyFont="1" applyFill="1" applyBorder="1" applyAlignment="1">
      <alignment vertical="center"/>
    </xf>
    <xf numFmtId="0" fontId="2" fillId="38" borderId="96" xfId="0" applyFont="1" applyFill="1" applyBorder="1" applyAlignment="1">
      <alignment horizontal="right" vertical="center"/>
    </xf>
    <xf numFmtId="0" fontId="2" fillId="38" borderId="0" xfId="0" applyFont="1" applyFill="1" applyBorder="1" applyAlignment="1" quotePrefix="1">
      <alignment horizontal="left" vertical="center"/>
    </xf>
    <xf numFmtId="0" fontId="2" fillId="38" borderId="97" xfId="0" applyFont="1" applyFill="1" applyBorder="1" applyAlignment="1">
      <alignment horizontal="center" vertical="center"/>
    </xf>
    <xf numFmtId="0" fontId="2" fillId="38" borderId="98" xfId="0" applyFont="1" applyFill="1" applyBorder="1" applyAlignment="1">
      <alignment horizontal="center" vertical="center"/>
    </xf>
    <xf numFmtId="0" fontId="2" fillId="38" borderId="128" xfId="0" applyFont="1" applyFill="1" applyBorder="1" applyAlignment="1">
      <alignment vertical="center"/>
    </xf>
    <xf numFmtId="4" fontId="2" fillId="38" borderId="99" xfId="0" applyNumberFormat="1" applyFont="1" applyFill="1" applyBorder="1" applyAlignment="1">
      <alignment horizontal="center" vertical="center"/>
    </xf>
    <xf numFmtId="171" fontId="18" fillId="38" borderId="100" xfId="61" applyFont="1" applyFill="1" applyBorder="1" applyAlignment="1">
      <alignment horizontal="center" vertical="center"/>
    </xf>
    <xf numFmtId="4" fontId="2" fillId="0" borderId="0" xfId="0" applyNumberFormat="1" applyFont="1" applyBorder="1" applyAlignment="1">
      <alignment vertical="center"/>
    </xf>
    <xf numFmtId="4" fontId="2" fillId="0" borderId="100" xfId="0" applyNumberFormat="1" applyFont="1" applyFill="1" applyBorder="1" applyAlignment="1">
      <alignment vertical="center"/>
    </xf>
    <xf numFmtId="4" fontId="2" fillId="38" borderId="129" xfId="0" applyNumberFormat="1" applyFont="1" applyFill="1" applyBorder="1" applyAlignment="1">
      <alignment vertical="center"/>
    </xf>
    <xf numFmtId="0" fontId="2" fillId="0" borderId="90" xfId="0" applyFont="1" applyFill="1" applyBorder="1" applyAlignment="1">
      <alignment horizontal="center" vertical="center"/>
    </xf>
    <xf numFmtId="0" fontId="2" fillId="0" borderId="91" xfId="0" applyFont="1" applyFill="1" applyBorder="1" applyAlignment="1">
      <alignment horizontal="center" vertical="center"/>
    </xf>
    <xf numFmtId="4" fontId="2" fillId="0" borderId="94" xfId="0" applyNumberFormat="1" applyFont="1" applyFill="1" applyBorder="1" applyAlignment="1">
      <alignment vertical="center"/>
    </xf>
    <xf numFmtId="4" fontId="2" fillId="0" borderId="95" xfId="0" applyNumberFormat="1" applyFont="1" applyFill="1" applyBorder="1" applyAlignment="1">
      <alignment vertical="center"/>
    </xf>
    <xf numFmtId="0" fontId="2" fillId="0" borderId="120" xfId="0" applyFont="1" applyFill="1" applyBorder="1" applyAlignment="1">
      <alignment horizontal="center" vertical="center"/>
    </xf>
    <xf numFmtId="0" fontId="2" fillId="0" borderId="121" xfId="0" applyFont="1" applyFill="1" applyBorder="1" applyAlignment="1">
      <alignment horizontal="center" vertical="center"/>
    </xf>
    <xf numFmtId="4" fontId="2" fillId="0" borderId="101" xfId="0" applyNumberFormat="1" applyFont="1" applyFill="1" applyBorder="1" applyAlignment="1">
      <alignment vertical="center"/>
    </xf>
    <xf numFmtId="4" fontId="2" fillId="0" borderId="102" xfId="0" applyNumberFormat="1" applyFont="1" applyFill="1" applyBorder="1" applyAlignment="1">
      <alignment vertical="center"/>
    </xf>
    <xf numFmtId="0" fontId="15" fillId="26" borderId="1" xfId="39" applyFont="1" applyAlignment="1">
      <alignment vertical="center"/>
    </xf>
    <xf numFmtId="0" fontId="2" fillId="0" borderId="117" xfId="0" applyFont="1" applyFill="1" applyBorder="1" applyAlignment="1" quotePrefix="1">
      <alignment horizontal="center" vertical="center"/>
    </xf>
    <xf numFmtId="0" fontId="3" fillId="0" borderId="130" xfId="0" applyFont="1" applyFill="1" applyBorder="1" applyAlignment="1">
      <alignment vertical="center"/>
    </xf>
    <xf numFmtId="0" fontId="2" fillId="0" borderId="119" xfId="0" applyFont="1" applyFill="1" applyBorder="1" applyAlignment="1" quotePrefix="1">
      <alignment horizontal="center" vertical="center"/>
    </xf>
    <xf numFmtId="0" fontId="3" fillId="0" borderId="131" xfId="0" applyFont="1" applyFill="1" applyBorder="1" applyAlignment="1">
      <alignment vertical="center"/>
    </xf>
    <xf numFmtId="0" fontId="2" fillId="0" borderId="104" xfId="0" applyFont="1" applyFill="1" applyBorder="1" applyAlignment="1" quotePrefix="1">
      <alignment horizontal="left" vertical="center"/>
    </xf>
    <xf numFmtId="4" fontId="2" fillId="0" borderId="107" xfId="0" applyNumberFormat="1" applyFont="1" applyFill="1" applyBorder="1" applyAlignment="1">
      <alignment horizontal="center" vertical="center" wrapText="1"/>
    </xf>
    <xf numFmtId="171" fontId="18" fillId="0" borderId="108" xfId="61" applyFont="1" applyFill="1" applyBorder="1" applyAlignment="1">
      <alignment horizontal="center" vertical="center" wrapText="1"/>
    </xf>
    <xf numFmtId="4" fontId="2" fillId="0" borderId="96" xfId="0" applyNumberFormat="1" applyFont="1" applyFill="1" applyBorder="1" applyAlignment="1">
      <alignment vertical="center"/>
    </xf>
    <xf numFmtId="0" fontId="2" fillId="38" borderId="111" xfId="0" applyFont="1" applyFill="1" applyBorder="1" applyAlignment="1">
      <alignment vertical="center" wrapText="1"/>
    </xf>
    <xf numFmtId="4" fontId="2" fillId="38" borderId="107" xfId="0" applyNumberFormat="1" applyFont="1" applyFill="1" applyBorder="1" applyAlignment="1">
      <alignment horizontal="center" vertical="center" wrapText="1"/>
    </xf>
    <xf numFmtId="171" fontId="18" fillId="38" borderId="108" xfId="61" applyFont="1" applyFill="1" applyBorder="1" applyAlignment="1">
      <alignment horizontal="center" vertical="center"/>
    </xf>
    <xf numFmtId="171" fontId="18" fillId="38" borderId="108" xfId="61" applyFont="1" applyFill="1" applyBorder="1" applyAlignment="1">
      <alignment horizontal="center" vertical="center" wrapText="1"/>
    </xf>
    <xf numFmtId="4" fontId="2" fillId="0" borderId="115" xfId="0" applyNumberFormat="1" applyFont="1" applyFill="1" applyBorder="1" applyAlignment="1">
      <alignment horizontal="center" vertical="center" wrapText="1"/>
    </xf>
    <xf numFmtId="171" fontId="18" fillId="0" borderId="116" xfId="61" applyFont="1" applyFill="1" applyBorder="1" applyAlignment="1">
      <alignment horizontal="center" vertical="center" wrapText="1"/>
    </xf>
    <xf numFmtId="171" fontId="18" fillId="0" borderId="117" xfId="61" applyFont="1" applyFill="1" applyBorder="1" applyAlignment="1">
      <alignment horizontal="center" vertical="center" wrapText="1"/>
    </xf>
    <xf numFmtId="0" fontId="3" fillId="0" borderId="130" xfId="0" applyFont="1" applyBorder="1" applyAlignment="1">
      <alignment vertical="center"/>
    </xf>
    <xf numFmtId="0" fontId="3" fillId="0" borderId="131" xfId="0" applyFont="1" applyBorder="1" applyAlignment="1">
      <alignment vertical="center"/>
    </xf>
    <xf numFmtId="0" fontId="19" fillId="0" borderId="130" xfId="0" applyFont="1" applyFill="1" applyBorder="1" applyAlignment="1">
      <alignment vertical="center"/>
    </xf>
    <xf numFmtId="0" fontId="2" fillId="0" borderId="97" xfId="0" applyFont="1" applyFill="1" applyBorder="1" applyAlignment="1">
      <alignment horizontal="center" vertical="center"/>
    </xf>
    <xf numFmtId="171" fontId="18" fillId="0" borderId="100" xfId="61" applyFont="1" applyFill="1" applyBorder="1" applyAlignment="1">
      <alignment horizontal="center" vertical="center"/>
    </xf>
    <xf numFmtId="171" fontId="18" fillId="0" borderId="0" xfId="61" applyFont="1" applyFill="1" applyBorder="1" applyAlignment="1">
      <alignment horizontal="center" vertical="center"/>
    </xf>
    <xf numFmtId="0" fontId="2" fillId="0" borderId="93" xfId="0" applyFont="1" applyBorder="1" applyAlignment="1">
      <alignment horizontal="center" vertical="center"/>
    </xf>
    <xf numFmtId="4" fontId="2" fillId="0" borderId="94" xfId="0" applyNumberFormat="1" applyFont="1" applyFill="1" applyBorder="1" applyAlignment="1">
      <alignment horizontal="right" vertical="center"/>
    </xf>
    <xf numFmtId="4" fontId="2" fillId="0" borderId="95" xfId="0" applyNumberFormat="1" applyFont="1" applyFill="1" applyBorder="1" applyAlignment="1">
      <alignment horizontal="right" vertical="center"/>
    </xf>
    <xf numFmtId="0" fontId="2" fillId="0" borderId="122" xfId="0" applyFont="1" applyBorder="1" applyAlignment="1">
      <alignment horizontal="center" vertical="center"/>
    </xf>
    <xf numFmtId="4" fontId="2" fillId="0" borderId="101" xfId="0" applyNumberFormat="1" applyFont="1" applyFill="1" applyBorder="1" applyAlignment="1">
      <alignment horizontal="right" vertical="center"/>
    </xf>
    <xf numFmtId="4" fontId="2" fillId="0" borderId="102" xfId="0" applyNumberFormat="1" applyFont="1" applyFill="1" applyBorder="1" applyAlignment="1">
      <alignment horizontal="right" vertical="center"/>
    </xf>
    <xf numFmtId="0" fontId="2" fillId="0" borderId="134" xfId="0" applyFont="1" applyBorder="1" applyAlignment="1">
      <alignment horizontal="right" vertical="center"/>
    </xf>
    <xf numFmtId="0" fontId="2" fillId="0" borderId="135" xfId="0" applyFont="1" applyBorder="1" applyAlignment="1" quotePrefix="1">
      <alignment horizontal="left" vertical="center"/>
    </xf>
    <xf numFmtId="0" fontId="2" fillId="0" borderId="136" xfId="0" applyFont="1" applyFill="1" applyBorder="1" applyAlignment="1">
      <alignment horizontal="center" vertical="center"/>
    </xf>
    <xf numFmtId="0" fontId="2" fillId="0" borderId="137" xfId="0" applyFont="1" applyFill="1" applyBorder="1" applyAlignment="1">
      <alignment horizontal="center" vertical="center"/>
    </xf>
    <xf numFmtId="0" fontId="2" fillId="0" borderId="138" xfId="0" applyFont="1" applyFill="1" applyBorder="1" applyAlignment="1">
      <alignment vertical="center"/>
    </xf>
    <xf numFmtId="4" fontId="2" fillId="0" borderId="139" xfId="0" applyNumberFormat="1" applyFont="1" applyFill="1" applyBorder="1" applyAlignment="1">
      <alignment horizontal="center" vertical="center"/>
    </xf>
    <xf numFmtId="171" fontId="18" fillId="0" borderId="140" xfId="61" applyFont="1" applyFill="1" applyBorder="1" applyAlignment="1">
      <alignment horizontal="center" vertical="center"/>
    </xf>
    <xf numFmtId="171" fontId="18" fillId="0" borderId="135" xfId="61" applyFont="1" applyFill="1" applyBorder="1" applyAlignment="1">
      <alignment horizontal="center" vertical="center"/>
    </xf>
    <xf numFmtId="4" fontId="2" fillId="0" borderId="140" xfId="0" applyNumberFormat="1" applyFont="1" applyFill="1" applyBorder="1" applyAlignment="1">
      <alignment vertical="center"/>
    </xf>
    <xf numFmtId="4" fontId="2" fillId="0" borderId="141" xfId="0" applyNumberFormat="1" applyFont="1" applyFill="1" applyBorder="1" applyAlignment="1">
      <alignment vertical="center"/>
    </xf>
    <xf numFmtId="0" fontId="2" fillId="0" borderId="0" xfId="0" applyFont="1" applyAlignment="1">
      <alignment horizontal="center" vertical="center"/>
    </xf>
    <xf numFmtId="4" fontId="2" fillId="0" borderId="0" xfId="0" applyNumberFormat="1" applyFont="1" applyFill="1" applyAlignment="1">
      <alignment horizontal="right" vertical="center"/>
    </xf>
    <xf numFmtId="0" fontId="2" fillId="0" borderId="0" xfId="0" applyFont="1" applyFill="1" applyBorder="1" applyAlignment="1">
      <alignment horizontal="center"/>
    </xf>
    <xf numFmtId="4" fontId="2" fillId="0" borderId="0" xfId="0" applyNumberFormat="1" applyFont="1" applyBorder="1" applyAlignment="1">
      <alignment horizontal="center"/>
    </xf>
    <xf numFmtId="4" fontId="2" fillId="0" borderId="0" xfId="0" applyNumberFormat="1" applyFont="1" applyBorder="1" applyAlignment="1">
      <alignment/>
    </xf>
    <xf numFmtId="0" fontId="15" fillId="0" borderId="0" xfId="0" applyFont="1" applyBorder="1" applyAlignment="1">
      <alignment/>
    </xf>
    <xf numFmtId="0" fontId="80" fillId="0" borderId="0" xfId="0" applyFont="1" applyBorder="1" applyAlignment="1">
      <alignment/>
    </xf>
    <xf numFmtId="4" fontId="3" fillId="0" borderId="0" xfId="0" applyNumberFormat="1" applyFont="1" applyFill="1" applyAlignment="1">
      <alignment horizontal="right" vertical="center"/>
    </xf>
    <xf numFmtId="0" fontId="15" fillId="0" borderId="0" xfId="0" applyFont="1" applyAlignment="1">
      <alignment/>
    </xf>
    <xf numFmtId="0" fontId="81" fillId="0" borderId="0" xfId="0" applyFont="1" applyBorder="1" applyAlignment="1">
      <alignment horizontal="left"/>
    </xf>
    <xf numFmtId="0" fontId="82" fillId="0" borderId="0" xfId="0" applyFont="1" applyBorder="1" applyAlignment="1">
      <alignment horizontal="center"/>
    </xf>
    <xf numFmtId="0" fontId="15" fillId="0" borderId="0" xfId="0" applyFont="1" applyBorder="1" applyAlignment="1">
      <alignment/>
    </xf>
    <xf numFmtId="0" fontId="31" fillId="0" borderId="0" xfId="0" applyFont="1" applyAlignment="1">
      <alignment/>
    </xf>
    <xf numFmtId="4" fontId="4" fillId="0" borderId="0" xfId="61" applyNumberFormat="1" applyFont="1" applyFill="1" applyAlignment="1">
      <alignment horizontal="right" vertical="center"/>
    </xf>
    <xf numFmtId="0" fontId="15" fillId="0" borderId="74" xfId="0" applyFont="1" applyBorder="1" applyAlignment="1">
      <alignment/>
    </xf>
    <xf numFmtId="4" fontId="4" fillId="0" borderId="74" xfId="0" applyNumberFormat="1" applyFont="1" applyFill="1" applyBorder="1" applyAlignment="1">
      <alignment horizontal="right" vertical="center"/>
    </xf>
    <xf numFmtId="0" fontId="19" fillId="0" borderId="0" xfId="0" applyFont="1" applyBorder="1" applyAlignment="1">
      <alignment vertical="top"/>
    </xf>
    <xf numFmtId="0" fontId="19" fillId="0" borderId="61" xfId="0" applyFont="1" applyBorder="1" applyAlignment="1">
      <alignment vertical="top"/>
    </xf>
    <xf numFmtId="4" fontId="19" fillId="0" borderId="0" xfId="0" applyNumberFormat="1" applyFont="1" applyFill="1" applyBorder="1" applyAlignment="1">
      <alignment horizontal="right" vertical="center"/>
    </xf>
    <xf numFmtId="0" fontId="82" fillId="0" borderId="0" xfId="0" applyFont="1" applyBorder="1" applyAlignment="1">
      <alignment horizontal="left"/>
    </xf>
    <xf numFmtId="4" fontId="32" fillId="0" borderId="0" xfId="0" applyNumberFormat="1" applyFont="1" applyFill="1" applyAlignment="1">
      <alignment horizontal="right" vertical="center"/>
    </xf>
    <xf numFmtId="0" fontId="4" fillId="0" borderId="0" xfId="0" applyFont="1" applyAlignment="1">
      <alignment/>
    </xf>
    <xf numFmtId="4" fontId="33" fillId="0" borderId="0" xfId="0" applyNumberFormat="1" applyFont="1" applyFill="1" applyAlignment="1">
      <alignment horizontal="right" vertical="center"/>
    </xf>
    <xf numFmtId="0" fontId="34" fillId="0" borderId="0" xfId="0" applyFont="1" applyAlignment="1">
      <alignment horizontal="left"/>
    </xf>
    <xf numFmtId="0" fontId="33" fillId="0" borderId="0" xfId="0" applyFont="1" applyAlignment="1">
      <alignment horizontal="center"/>
    </xf>
    <xf numFmtId="4" fontId="35" fillId="0" borderId="0" xfId="0" applyNumberFormat="1" applyFont="1" applyFill="1" applyAlignment="1">
      <alignment horizontal="right" vertical="center"/>
    </xf>
    <xf numFmtId="0" fontId="6" fillId="0" borderId="0" xfId="0" applyFont="1" applyFill="1" applyBorder="1" applyAlignment="1">
      <alignment horizontal="center"/>
    </xf>
    <xf numFmtId="0" fontId="3" fillId="0" borderId="28"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Fill="1" applyBorder="1" applyAlignment="1">
      <alignment horizontal="center" vertical="center" wrapText="1"/>
    </xf>
    <xf numFmtId="3" fontId="3" fillId="0" borderId="33" xfId="0" applyNumberFormat="1" applyFont="1" applyFill="1" applyBorder="1" applyAlignment="1">
      <alignment horizontal="center" vertical="center" wrapText="1"/>
    </xf>
    <xf numFmtId="0" fontId="3" fillId="0" borderId="14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6" fillId="0" borderId="0" xfId="0" applyFont="1" applyFill="1" applyBorder="1" applyAlignment="1">
      <alignment horizontal="center" vertical="center" wrapText="1"/>
    </xf>
    <xf numFmtId="197" fontId="8" fillId="0" borderId="28" xfId="0" applyNumberFormat="1" applyFont="1" applyBorder="1" applyAlignment="1">
      <alignment horizontal="center" vertical="center" wrapText="1"/>
    </xf>
    <xf numFmtId="0" fontId="8" fillId="0" borderId="33" xfId="0" applyFont="1" applyBorder="1" applyAlignment="1">
      <alignment horizontal="center" vertical="center" wrapText="1"/>
    </xf>
    <xf numFmtId="3" fontId="3" fillId="0" borderId="143" xfId="0" applyNumberFormat="1" applyFont="1" applyFill="1" applyBorder="1" applyAlignment="1">
      <alignment horizontal="center" vertical="center" wrapText="1"/>
    </xf>
    <xf numFmtId="3" fontId="3" fillId="0" borderId="144" xfId="0" applyNumberFormat="1" applyFont="1" applyFill="1" applyBorder="1" applyAlignment="1">
      <alignment horizontal="center" vertical="center" wrapText="1"/>
    </xf>
    <xf numFmtId="0" fontId="3" fillId="0" borderId="29" xfId="0" applyFont="1" applyBorder="1" applyAlignment="1">
      <alignment horizontal="center" vertical="center" wrapText="1"/>
    </xf>
    <xf numFmtId="4" fontId="3" fillId="0" borderId="145" xfId="0" applyNumberFormat="1" applyFont="1" applyFill="1" applyBorder="1" applyAlignment="1">
      <alignment horizontal="center" vertical="center" wrapText="1"/>
    </xf>
    <xf numFmtId="4" fontId="3" fillId="0" borderId="30"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2" fillId="0" borderId="0" xfId="0" applyFont="1" applyBorder="1" applyAlignment="1">
      <alignment horizontal="center"/>
    </xf>
    <xf numFmtId="0" fontId="6" fillId="0" borderId="0" xfId="0" applyFont="1" applyFill="1" applyBorder="1" applyAlignment="1">
      <alignment horizontal="center"/>
    </xf>
    <xf numFmtId="0" fontId="3" fillId="0" borderId="0" xfId="0" applyFont="1" applyBorder="1" applyAlignment="1">
      <alignment horizontal="center"/>
    </xf>
    <xf numFmtId="0" fontId="3" fillId="0" borderId="14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4"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44"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14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9" fillId="0" borderId="0" xfId="0" applyFont="1" applyBorder="1" applyAlignment="1">
      <alignment horizontal="left" vertical="center" wrapText="1"/>
    </xf>
    <xf numFmtId="0" fontId="14" fillId="0" borderId="0" xfId="0" applyFont="1" applyBorder="1" applyAlignment="1">
      <alignment horizontal="center"/>
    </xf>
    <xf numFmtId="0" fontId="8" fillId="0" borderId="28" xfId="51" applyFont="1" applyBorder="1" applyAlignment="1">
      <alignment horizontal="center" vertical="center" wrapText="1"/>
      <protection/>
    </xf>
    <xf numFmtId="0" fontId="8" fillId="0" borderId="33" xfId="51" applyFont="1" applyBorder="1" applyAlignment="1">
      <alignment horizontal="center" vertical="center" wrapText="1"/>
      <protection/>
    </xf>
    <xf numFmtId="0" fontId="3" fillId="0" borderId="27" xfId="0" applyFont="1" applyFill="1" applyBorder="1" applyAlignment="1">
      <alignment horizontal="center" vertical="center" wrapText="1"/>
    </xf>
    <xf numFmtId="4" fontId="3" fillId="0" borderId="39" xfId="0" applyNumberFormat="1" applyFont="1" applyFill="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center"/>
    </xf>
    <xf numFmtId="0" fontId="3" fillId="0" borderId="28"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Fill="1" applyBorder="1" applyAlignment="1">
      <alignment horizontal="center" vertical="center" wrapText="1"/>
    </xf>
    <xf numFmtId="0" fontId="3" fillId="0" borderId="147" xfId="0" applyFont="1" applyBorder="1" applyAlignment="1">
      <alignment horizontal="center" vertical="center"/>
    </xf>
    <xf numFmtId="0" fontId="3" fillId="0" borderId="92"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10" fillId="0" borderId="148" xfId="0" applyFont="1" applyBorder="1" applyAlignment="1">
      <alignment horizontal="center" vertical="center" wrapText="1"/>
    </xf>
    <xf numFmtId="0" fontId="10" fillId="0" borderId="78" xfId="0" applyFont="1" applyBorder="1" applyAlignment="1">
      <alignment horizontal="center" vertical="center" wrapText="1"/>
    </xf>
    <xf numFmtId="0" fontId="3" fillId="0" borderId="147" xfId="0" applyFont="1" applyFill="1" applyBorder="1" applyAlignment="1">
      <alignment horizontal="center" vertical="center"/>
    </xf>
    <xf numFmtId="0" fontId="3" fillId="0" borderId="92" xfId="0" applyFont="1" applyFill="1" applyBorder="1" applyAlignment="1">
      <alignment horizontal="center" vertical="center"/>
    </xf>
    <xf numFmtId="0" fontId="81" fillId="0" borderId="0" xfId="0" applyFont="1" applyAlignment="1">
      <alignment horizontal="center"/>
    </xf>
    <xf numFmtId="0" fontId="14" fillId="0" borderId="0" xfId="0" applyFont="1" applyBorder="1" applyAlignment="1">
      <alignment horizontal="center" wrapText="1"/>
    </xf>
    <xf numFmtId="2" fontId="3" fillId="0" borderId="149" xfId="0" applyNumberFormat="1" applyFont="1" applyBorder="1" applyAlignment="1">
      <alignment horizontal="center" vertical="center" wrapText="1"/>
    </xf>
    <xf numFmtId="0" fontId="3" fillId="0" borderId="34" xfId="0" applyFont="1" applyFill="1" applyBorder="1" applyAlignment="1">
      <alignment horizontal="center" vertical="center" wrapText="1"/>
    </xf>
    <xf numFmtId="0" fontId="2" fillId="0" borderId="15" xfId="0" applyFont="1" applyBorder="1" applyAlignment="1">
      <alignment horizontal="left" vertical="center"/>
    </xf>
    <xf numFmtId="0" fontId="2" fillId="0" borderId="0" xfId="0" applyFont="1" applyBorder="1" applyAlignment="1">
      <alignment horizontal="left"/>
    </xf>
    <xf numFmtId="0" fontId="14" fillId="0" borderId="0" xfId="0" applyFont="1" applyBorder="1" applyAlignment="1">
      <alignment horizontal="center"/>
    </xf>
    <xf numFmtId="0" fontId="2" fillId="0" borderId="0" xfId="0" applyFont="1" applyBorder="1" applyAlignment="1">
      <alignment horizontal="left" vertical="center" wrapText="1"/>
    </xf>
    <xf numFmtId="0" fontId="2" fillId="0" borderId="0" xfId="0" applyFont="1" applyFill="1" applyBorder="1" applyAlignment="1">
      <alignment horizontal="left" wrapText="1"/>
    </xf>
    <xf numFmtId="0" fontId="2" fillId="0" borderId="61" xfId="0" applyFont="1" applyFill="1" applyBorder="1" applyAlignment="1">
      <alignment horizontal="left" wrapText="1"/>
    </xf>
    <xf numFmtId="0" fontId="19" fillId="0" borderId="143" xfId="0" applyFont="1" applyBorder="1" applyAlignment="1">
      <alignment horizontal="center" vertical="center" wrapText="1"/>
    </xf>
    <xf numFmtId="0" fontId="19" fillId="0" borderId="33"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3" fillId="0" borderId="150" xfId="0" applyFont="1" applyBorder="1" applyAlignment="1">
      <alignment horizontal="center" wrapText="1" shrinkToFit="1"/>
    </xf>
    <xf numFmtId="0" fontId="3" fillId="0" borderId="33" xfId="0" applyFont="1" applyBorder="1" applyAlignment="1">
      <alignment horizontal="center" vertical="center" wrapText="1" shrinkToFit="1"/>
    </xf>
    <xf numFmtId="0" fontId="3" fillId="0" borderId="33" xfId="0" applyFont="1" applyBorder="1" applyAlignment="1">
      <alignment horizontal="center" vertical="center"/>
    </xf>
    <xf numFmtId="0" fontId="2" fillId="0" borderId="0" xfId="0" applyFont="1" applyBorder="1" applyAlignment="1">
      <alignment horizontal="left" vertical="center"/>
    </xf>
    <xf numFmtId="0" fontId="3" fillId="0" borderId="27" xfId="0" applyFont="1" applyFill="1" applyBorder="1" applyAlignment="1">
      <alignment horizontal="center" vertical="center" wrapText="1"/>
    </xf>
    <xf numFmtId="0" fontId="3" fillId="0" borderId="0" xfId="0" applyFont="1" applyFill="1" applyBorder="1" applyAlignment="1">
      <alignment horizontal="center"/>
    </xf>
    <xf numFmtId="0" fontId="21" fillId="0" borderId="0" xfId="0" applyFont="1" applyBorder="1" applyAlignment="1">
      <alignment horizontal="center"/>
    </xf>
    <xf numFmtId="0" fontId="11" fillId="0" borderId="46" xfId="0" applyFont="1" applyBorder="1" applyAlignment="1">
      <alignment horizontal="center" vertical="center" wrapText="1"/>
    </xf>
    <xf numFmtId="0" fontId="11" fillId="0" borderId="31" xfId="0" applyFont="1" applyBorder="1" applyAlignment="1">
      <alignment horizontal="center" vertical="center"/>
    </xf>
    <xf numFmtId="0" fontId="11" fillId="0" borderId="151" xfId="0" applyFont="1" applyBorder="1" applyAlignment="1">
      <alignment horizontal="center" vertical="center"/>
    </xf>
    <xf numFmtId="0" fontId="12" fillId="0" borderId="0" xfId="0" applyFont="1" applyBorder="1" applyAlignment="1">
      <alignment horizontal="center"/>
    </xf>
    <xf numFmtId="0" fontId="13" fillId="36" borderId="31" xfId="0" applyFont="1" applyFill="1" applyBorder="1" applyAlignment="1">
      <alignment horizontal="center"/>
    </xf>
    <xf numFmtId="0" fontId="13" fillId="33" borderId="31" xfId="0" applyFont="1" applyFill="1" applyBorder="1" applyAlignment="1" applyProtection="1">
      <alignment horizontal="center" vertical="center" wrapText="1"/>
      <protection/>
    </xf>
    <xf numFmtId="49" fontId="2" fillId="33" borderId="152" xfId="0" applyNumberFormat="1" applyFont="1" applyFill="1" applyBorder="1" applyAlignment="1" applyProtection="1">
      <alignment horizontal="center" vertical="center" wrapText="1"/>
      <protection/>
    </xf>
    <xf numFmtId="49" fontId="2" fillId="33" borderId="42" xfId="0" applyNumberFormat="1" applyFont="1" applyFill="1" applyBorder="1" applyAlignment="1" applyProtection="1">
      <alignment horizontal="center" vertical="center" wrapText="1"/>
      <protection/>
    </xf>
    <xf numFmtId="0" fontId="13" fillId="33" borderId="153" xfId="0" applyFont="1" applyFill="1" applyBorder="1" applyAlignment="1">
      <alignment horizontal="center"/>
    </xf>
    <xf numFmtId="0" fontId="13" fillId="33" borderId="154" xfId="0" applyFont="1" applyFill="1" applyBorder="1" applyAlignment="1">
      <alignment horizontal="center"/>
    </xf>
    <xf numFmtId="0" fontId="13" fillId="33" borderId="155" xfId="0" applyFont="1" applyFill="1" applyBorder="1" applyAlignment="1">
      <alignment horizontal="center"/>
    </xf>
    <xf numFmtId="0" fontId="13" fillId="33" borderId="34" xfId="0" applyFont="1" applyFill="1" applyBorder="1" applyAlignment="1">
      <alignment horizontal="center"/>
    </xf>
    <xf numFmtId="0" fontId="13" fillId="33" borderId="156" xfId="0" applyFont="1" applyFill="1" applyBorder="1" applyAlignment="1">
      <alignment horizontal="center"/>
    </xf>
    <xf numFmtId="0" fontId="13" fillId="33" borderId="149" xfId="0" applyFont="1" applyFill="1" applyBorder="1" applyAlignment="1">
      <alignment horizontal="center"/>
    </xf>
    <xf numFmtId="0" fontId="13" fillId="33" borderId="157" xfId="0" applyFont="1" applyFill="1" applyBorder="1" applyAlignment="1">
      <alignment horizontal="center"/>
    </xf>
    <xf numFmtId="0" fontId="19" fillId="0" borderId="0" xfId="51" applyFont="1" applyBorder="1" applyAlignment="1">
      <alignment horizontal="center" vertical="center" wrapText="1"/>
      <protection/>
    </xf>
    <xf numFmtId="0" fontId="19" fillId="0" borderId="0" xfId="51" applyFont="1" applyBorder="1" applyAlignment="1">
      <alignment horizontal="center"/>
      <protection/>
    </xf>
    <xf numFmtId="0" fontId="22" fillId="0" borderId="28" xfId="51" applyFont="1" applyBorder="1" applyAlignment="1">
      <alignment horizontal="center" vertical="center" wrapText="1"/>
      <protection/>
    </xf>
    <xf numFmtId="0" fontId="22" fillId="0" borderId="33" xfId="51" applyFont="1" applyBorder="1" applyAlignment="1">
      <alignment horizontal="center" vertical="center" wrapText="1"/>
      <protection/>
    </xf>
    <xf numFmtId="0" fontId="22" fillId="0" borderId="29" xfId="51" applyFont="1" applyBorder="1" applyAlignment="1">
      <alignment horizontal="center" vertical="center" wrapText="1"/>
      <protection/>
    </xf>
    <xf numFmtId="0" fontId="22" fillId="33" borderId="15" xfId="51" applyFont="1" applyFill="1" applyBorder="1" applyAlignment="1">
      <alignment horizontal="left" vertical="center" wrapText="1"/>
      <protection/>
    </xf>
    <xf numFmtId="0" fontId="23" fillId="33" borderId="16" xfId="51" applyFont="1" applyFill="1" applyBorder="1" applyAlignment="1">
      <alignment vertical="center" wrapText="1"/>
      <protection/>
    </xf>
    <xf numFmtId="0" fontId="23" fillId="33" borderId="16" xfId="51" applyFont="1" applyFill="1" applyBorder="1" applyAlignment="1">
      <alignment horizontal="center" vertical="center" wrapText="1"/>
      <protection/>
    </xf>
    <xf numFmtId="3" fontId="22" fillId="33" borderId="16" xfId="51" applyNumberFormat="1" applyFont="1" applyFill="1" applyBorder="1" applyAlignment="1">
      <alignment horizontal="center" vertical="center" wrapText="1"/>
      <protection/>
    </xf>
    <xf numFmtId="0" fontId="22" fillId="0" borderId="15" xfId="51" applyFont="1" applyBorder="1" applyAlignment="1">
      <alignment vertical="center" wrapText="1"/>
      <protection/>
    </xf>
    <xf numFmtId="0" fontId="22" fillId="0" borderId="16" xfId="51" applyFont="1" applyBorder="1" applyAlignment="1">
      <alignment horizontal="left" vertical="center" wrapText="1"/>
      <protection/>
    </xf>
    <xf numFmtId="0" fontId="22" fillId="0" borderId="16" xfId="51" applyFont="1" applyBorder="1" applyAlignment="1">
      <alignment horizontal="center" vertical="center" wrapText="1"/>
      <protection/>
    </xf>
    <xf numFmtId="3" fontId="22" fillId="0" borderId="16" xfId="51" applyNumberFormat="1" applyFont="1" applyBorder="1" applyAlignment="1">
      <alignment horizontal="center" vertical="center" wrapText="1"/>
      <protection/>
    </xf>
    <xf numFmtId="3" fontId="22" fillId="0" borderId="17" xfId="51" applyNumberFormat="1" applyFont="1" applyBorder="1" applyAlignment="1">
      <alignment horizontal="center" vertical="center" wrapText="1"/>
      <protection/>
    </xf>
    <xf numFmtId="0" fontId="22" fillId="0" borderId="0" xfId="51" applyFont="1" applyBorder="1" applyAlignment="1">
      <alignment horizontal="left" wrapText="1"/>
      <protection/>
    </xf>
  </cellXfs>
  <cellStyles count="49">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obro" xfId="41"/>
    <cellStyle name="Izlaz" xfId="42"/>
    <cellStyle name="Izračunavanje"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Povezana ćelija" xfId="53"/>
    <cellStyle name="Percent" xfId="54"/>
    <cellStyle name="Tekst objašnjenja" xfId="55"/>
    <cellStyle name="Tekst upozorenja" xfId="56"/>
    <cellStyle name="Ukupno"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NOVNIK%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Ценовник"/>
      <sheetName val="Табела_Прилог"/>
      <sheetName val="Материјал"/>
      <sheetName val="Анализа_радник"/>
      <sheetName val="1_Припремни"/>
      <sheetName val="2_Земљани"/>
      <sheetName val="3_Тесарски"/>
      <sheetName val="4_Армирачки"/>
      <sheetName val="5_Бетонски"/>
      <sheetName val="6_Зидарски"/>
      <sheetName val="7_Монтерски"/>
      <sheetName val="8_Браварски"/>
      <sheetName val="9_Биолошки"/>
      <sheetName val="10_Камени"/>
      <sheetName val="11_Превоз"/>
      <sheetName val="12_Механизација"/>
    </sheetNames>
    <sheetDataSet>
      <sheetData sheetId="1">
        <row r="265">
          <cell r="L265">
            <v>0.25</v>
          </cell>
          <cell r="M265">
            <v>0.81</v>
          </cell>
        </row>
      </sheetData>
      <sheetData sheetId="3">
        <row r="108">
          <cell r="B108">
            <v>17172</v>
          </cell>
        </row>
        <row r="109">
          <cell r="B109">
            <v>17553.6</v>
          </cell>
        </row>
        <row r="110">
          <cell r="B110">
            <v>17935.2</v>
          </cell>
        </row>
        <row r="111">
          <cell r="B111">
            <v>24676.800000000003</v>
          </cell>
        </row>
        <row r="138">
          <cell r="B138">
            <v>7000</v>
          </cell>
        </row>
        <row r="139">
          <cell r="B139">
            <v>11000</v>
          </cell>
        </row>
        <row r="140">
          <cell r="B140">
            <v>17000</v>
          </cell>
        </row>
        <row r="141">
          <cell r="B141">
            <v>19000</v>
          </cell>
        </row>
      </sheetData>
      <sheetData sheetId="4">
        <row r="4">
          <cell r="J4">
            <v>749.6750432524137</v>
          </cell>
        </row>
        <row r="5">
          <cell r="J5">
            <v>913.2405072347588</v>
          </cell>
        </row>
        <row r="6">
          <cell r="J6">
            <v>1553.8719078322752</v>
          </cell>
        </row>
        <row r="7">
          <cell r="J7">
            <v>1608.3937291597238</v>
          </cell>
        </row>
        <row r="10">
          <cell r="J10">
            <v>2439.85150440331</v>
          </cell>
        </row>
        <row r="12">
          <cell r="J12">
            <v>3046.4067666711717</v>
          </cell>
        </row>
      </sheetData>
      <sheetData sheetId="5">
        <row r="4">
          <cell r="Y4">
            <v>10.959999999999999</v>
          </cell>
          <cell r="Z4">
            <v>0</v>
          </cell>
          <cell r="AA4">
            <v>0</v>
          </cell>
          <cell r="AB4">
            <v>191.12624466336985</v>
          </cell>
        </row>
        <row r="5">
          <cell r="Y5">
            <v>3.64</v>
          </cell>
          <cell r="Z5">
            <v>0</v>
          </cell>
          <cell r="AA5">
            <v>0</v>
          </cell>
          <cell r="AB5">
            <v>144.5100874284016</v>
          </cell>
        </row>
        <row r="6">
          <cell r="Y6">
            <v>64.63</v>
          </cell>
          <cell r="Z6">
            <v>0</v>
          </cell>
          <cell r="AA6">
            <v>365.2962028939035</v>
          </cell>
          <cell r="AB6">
            <v>1243.0975262658203</v>
          </cell>
        </row>
        <row r="7">
          <cell r="Y7">
            <v>40.7</v>
          </cell>
          <cell r="Z7">
            <v>0</v>
          </cell>
          <cell r="AA7">
            <v>82.19164565112828</v>
          </cell>
          <cell r="AB7">
            <v>0</v>
          </cell>
        </row>
        <row r="8">
          <cell r="Y8">
            <v>81.4</v>
          </cell>
          <cell r="Z8">
            <v>0</v>
          </cell>
          <cell r="AA8">
            <v>155.25088622990899</v>
          </cell>
          <cell r="AB8">
            <v>0</v>
          </cell>
        </row>
        <row r="14">
          <cell r="Q14">
            <v>66</v>
          </cell>
          <cell r="R14">
            <v>89.96100519028964</v>
          </cell>
          <cell r="S14">
            <v>0</v>
          </cell>
          <cell r="T14">
            <v>155.38719078322754</v>
          </cell>
        </row>
        <row r="15">
          <cell r="Q15">
            <v>98</v>
          </cell>
          <cell r="R15">
            <v>89.96100519028964</v>
          </cell>
          <cell r="S15">
            <v>0</v>
          </cell>
          <cell r="T15">
            <v>155.38719078322754</v>
          </cell>
        </row>
        <row r="16">
          <cell r="Q16">
            <v>164</v>
          </cell>
          <cell r="R16">
            <v>89.96100519028964</v>
          </cell>
          <cell r="S16">
            <v>0</v>
          </cell>
          <cell r="T16">
            <v>155.38719078322754</v>
          </cell>
        </row>
        <row r="22">
          <cell r="G22">
            <v>20000</v>
          </cell>
          <cell r="J22">
            <v>5997.40034601931</v>
          </cell>
        </row>
        <row r="23">
          <cell r="K23">
            <v>150</v>
          </cell>
        </row>
        <row r="24">
          <cell r="K24">
            <v>150</v>
          </cell>
        </row>
        <row r="31">
          <cell r="L31">
            <v>1077.41</v>
          </cell>
          <cell r="T31">
            <v>29200</v>
          </cell>
          <cell r="U31">
            <v>97594.0601761324</v>
          </cell>
          <cell r="V31">
            <v>64335.74916638895</v>
          </cell>
          <cell r="W31">
            <v>39037.62407045296</v>
          </cell>
          <cell r="X31">
            <v>25734.29966655558</v>
          </cell>
          <cell r="Y31">
            <v>24861.950525316402</v>
          </cell>
        </row>
      </sheetData>
      <sheetData sheetId="6">
        <row r="5">
          <cell r="B5" t="str">
            <v>ГН 200.109.21 А 2.1</v>
          </cell>
          <cell r="W5">
            <v>0</v>
          </cell>
          <cell r="X5">
            <v>1164.995017214251</v>
          </cell>
          <cell r="Y5">
            <v>0</v>
          </cell>
        </row>
        <row r="6">
          <cell r="B6" t="str">
            <v>ГН 200.109.23 А 2.1</v>
          </cell>
          <cell r="W6">
            <v>0</v>
          </cell>
          <cell r="X6">
            <v>1514.4935223785262</v>
          </cell>
          <cell r="Y6">
            <v>0</v>
          </cell>
        </row>
        <row r="7">
          <cell r="B7" t="str">
            <v>ГН 200.109.25 А 2.1</v>
          </cell>
          <cell r="W7">
            <v>0</v>
          </cell>
          <cell r="X7">
            <v>1794.1223135116768</v>
          </cell>
          <cell r="Y7">
            <v>0</v>
          </cell>
        </row>
        <row r="8">
          <cell r="B8" t="str">
            <v>ГН 200.109.31 А 2.1</v>
          </cell>
          <cell r="W8">
            <v>0</v>
          </cell>
          <cell r="X8">
            <v>1574.3175908300689</v>
          </cell>
          <cell r="Y8">
            <v>0</v>
          </cell>
        </row>
        <row r="9">
          <cell r="B9" t="str">
            <v>ГН 200.109.33 А 2.1</v>
          </cell>
          <cell r="W9">
            <v>0</v>
          </cell>
          <cell r="X9">
            <v>2046.6128680790894</v>
          </cell>
          <cell r="Y9">
            <v>0</v>
          </cell>
        </row>
        <row r="10">
          <cell r="B10" t="str">
            <v>ГН 200.109.35 А 2.1</v>
          </cell>
          <cell r="W10">
            <v>0</v>
          </cell>
          <cell r="X10">
            <v>2424.449089878306</v>
          </cell>
          <cell r="Y10">
            <v>0</v>
          </cell>
        </row>
        <row r="11">
          <cell r="B11" t="str">
            <v>ГН 200.201.1.1</v>
          </cell>
          <cell r="W11">
            <v>0</v>
          </cell>
          <cell r="X11">
            <v>449.8050259514482</v>
          </cell>
          <cell r="Y11">
            <v>0</v>
          </cell>
        </row>
        <row r="12">
          <cell r="B12" t="str">
            <v>ГН 200.202.1.А.3</v>
          </cell>
          <cell r="W12">
            <v>0</v>
          </cell>
          <cell r="X12">
            <v>224.9025129757241</v>
          </cell>
          <cell r="Y12">
            <v>0</v>
          </cell>
        </row>
        <row r="13">
          <cell r="B13" t="str">
            <v>ГН 200.202.1.Б.3</v>
          </cell>
          <cell r="W13">
            <v>0</v>
          </cell>
          <cell r="X13">
            <v>269.8830155708689</v>
          </cell>
          <cell r="Y13">
            <v>0</v>
          </cell>
        </row>
        <row r="14">
          <cell r="B14" t="str">
            <v>ГН 200.203.1.А.2.1</v>
          </cell>
          <cell r="W14">
            <v>189</v>
          </cell>
          <cell r="X14">
            <v>269.8830155708689</v>
          </cell>
          <cell r="Y14">
            <v>0</v>
          </cell>
        </row>
        <row r="15">
          <cell r="B15" t="str">
            <v>ГН 200.301.1.1-3</v>
          </cell>
          <cell r="W15">
            <v>11.320581999999998</v>
          </cell>
          <cell r="X15">
            <v>0</v>
          </cell>
          <cell r="Y15">
            <v>2.796969434098095</v>
          </cell>
        </row>
        <row r="16">
          <cell r="B16" t="str">
            <v>ГН 200.302.1.3.-3</v>
          </cell>
          <cell r="W16">
            <v>56.308634999999995</v>
          </cell>
          <cell r="X16">
            <v>0</v>
          </cell>
          <cell r="Y16">
            <v>37.2929257879746</v>
          </cell>
        </row>
        <row r="17">
          <cell r="B17" t="str">
            <v>ГН 200.303.2.1-6.1A 3.1'</v>
          </cell>
          <cell r="W17">
            <v>36.93073400000001</v>
          </cell>
          <cell r="X17">
            <v>0</v>
          </cell>
          <cell r="Y17">
            <v>48.0146419520173</v>
          </cell>
        </row>
        <row r="18">
          <cell r="B18" t="str">
            <v>ГН 200.303.3.3'-1'</v>
          </cell>
          <cell r="W18">
            <v>42.609596</v>
          </cell>
          <cell r="X18">
            <v>0</v>
          </cell>
          <cell r="Y18">
            <v>49.64620745524119</v>
          </cell>
        </row>
        <row r="19">
          <cell r="B19" t="str">
            <v>ГН 200.304.3'.2-1</v>
          </cell>
          <cell r="W19">
            <v>36.85911000000001</v>
          </cell>
          <cell r="X19">
            <v>0</v>
          </cell>
          <cell r="Y19">
            <v>29.601259844204836</v>
          </cell>
        </row>
        <row r="20">
          <cell r="B20" t="str">
            <v>ГН 200.304'.3'.1-3</v>
          </cell>
          <cell r="W20">
            <v>37.53909</v>
          </cell>
          <cell r="X20">
            <v>0</v>
          </cell>
          <cell r="Y20">
            <v>108.14948478512635</v>
          </cell>
        </row>
        <row r="21">
          <cell r="B21" t="str">
            <v>ГН 200.304'.5.1-3</v>
          </cell>
          <cell r="W21">
            <v>44.27413000000001</v>
          </cell>
          <cell r="X21">
            <v>0</v>
          </cell>
          <cell r="Y21">
            <v>212.80275777763012</v>
          </cell>
        </row>
        <row r="22">
          <cell r="B22" t="str">
            <v>ГН 200.305.1.1-6.3''.1</v>
          </cell>
          <cell r="W22">
            <v>70.742354</v>
          </cell>
          <cell r="X22">
            <v>0</v>
          </cell>
          <cell r="Y22">
            <v>47.78156116584246</v>
          </cell>
        </row>
        <row r="23">
          <cell r="B23" t="str">
            <v>ГН 200-507.8.2</v>
          </cell>
          <cell r="W23">
            <v>85.81516620000001</v>
          </cell>
          <cell r="X23">
            <v>0</v>
          </cell>
          <cell r="Y23">
            <v>88.57069874643967</v>
          </cell>
        </row>
        <row r="24">
          <cell r="B24" t="str">
            <v>ГН 200-507.7.2</v>
          </cell>
          <cell r="W24">
            <v>78.086262</v>
          </cell>
          <cell r="Y24">
            <v>137.51766384315636</v>
          </cell>
        </row>
        <row r="25">
          <cell r="B25" t="str">
            <v>ГН 200.507.5.2</v>
          </cell>
          <cell r="W25">
            <v>41.924442000000006</v>
          </cell>
          <cell r="X25">
            <v>0</v>
          </cell>
          <cell r="Y25">
            <v>200.4494761103635</v>
          </cell>
        </row>
        <row r="26">
          <cell r="B26" t="str">
            <v>ГН 200.507.6.1</v>
          </cell>
          <cell r="W26">
            <v>47.04906200000001</v>
          </cell>
          <cell r="X26">
            <v>0</v>
          </cell>
          <cell r="Y26">
            <v>150.33710708277263</v>
          </cell>
        </row>
        <row r="27">
          <cell r="B27" t="str">
            <v>ГН 200.507.5.2</v>
          </cell>
          <cell r="W27">
            <v>41.924442000000006</v>
          </cell>
          <cell r="X27">
            <v>0</v>
          </cell>
          <cell r="Y27">
            <v>200.4494761103635</v>
          </cell>
        </row>
        <row r="28">
          <cell r="B28" t="str">
            <v>ГН 200.311.1.2.‚11</v>
          </cell>
          <cell r="W28">
            <v>75.57779820000002</v>
          </cell>
          <cell r="X28">
            <v>0</v>
          </cell>
          <cell r="Y28">
            <v>228.41917045134448</v>
          </cell>
        </row>
        <row r="29">
          <cell r="B29" t="str">
            <v>ГН 200.311.1.2.21</v>
          </cell>
          <cell r="W29">
            <v>123.45277160000003</v>
          </cell>
          <cell r="X29">
            <v>0</v>
          </cell>
          <cell r="Y29">
            <v>380.8540046096906</v>
          </cell>
        </row>
        <row r="30">
          <cell r="B30" t="str">
            <v>ГН 200.311.1.2.32</v>
          </cell>
          <cell r="W30">
            <v>556.0519294000001</v>
          </cell>
          <cell r="X30">
            <v>0</v>
          </cell>
          <cell r="Y30">
            <v>986.6309678781031</v>
          </cell>
        </row>
        <row r="31">
          <cell r="B31" t="str">
            <v>ГН 200.312.1.1</v>
          </cell>
          <cell r="W31">
            <v>78.14424600000001</v>
          </cell>
          <cell r="X31">
            <v>0</v>
          </cell>
          <cell r="Y31">
            <v>156.86336909566816</v>
          </cell>
        </row>
        <row r="32">
          <cell r="W32">
            <v>0</v>
          </cell>
          <cell r="Z32">
            <v>550</v>
          </cell>
        </row>
        <row r="33">
          <cell r="B33" t="str">
            <v>ГН 200.312.2.1</v>
          </cell>
          <cell r="W33">
            <v>78.93211</v>
          </cell>
          <cell r="X33">
            <v>0</v>
          </cell>
          <cell r="Y33">
            <v>158.4949345988921</v>
          </cell>
        </row>
        <row r="34">
          <cell r="B34" t="str">
            <v>ГН 200.312.2.1</v>
          </cell>
          <cell r="W34">
            <v>80.92248959999999</v>
          </cell>
          <cell r="X34">
            <v>0</v>
          </cell>
          <cell r="Y34">
            <v>162.48061604248184</v>
          </cell>
        </row>
        <row r="35">
          <cell r="B35" t="str">
            <v>ГН 200.1.4</v>
          </cell>
          <cell r="W35">
            <v>0</v>
          </cell>
          <cell r="X35">
            <v>0</v>
          </cell>
          <cell r="Y35">
            <v>53.22011284325543</v>
          </cell>
        </row>
        <row r="36">
          <cell r="B36" t="str">
            <v>ГН 200.1.4</v>
          </cell>
          <cell r="W36">
            <v>0</v>
          </cell>
          <cell r="X36">
            <v>0</v>
          </cell>
          <cell r="Y36">
            <v>50.50083700454894</v>
          </cell>
        </row>
        <row r="37">
          <cell r="B37" t="str">
            <v>ГН 200.315.1.1</v>
          </cell>
          <cell r="W37">
            <v>0</v>
          </cell>
          <cell r="X37">
            <v>0</v>
          </cell>
          <cell r="Y37">
            <v>65.26262012895556</v>
          </cell>
        </row>
        <row r="38">
          <cell r="B38" t="str">
            <v>ГН 200.316.1</v>
          </cell>
          <cell r="W38">
            <v>0</v>
          </cell>
          <cell r="X38">
            <v>787.1587954150343</v>
          </cell>
          <cell r="Y38">
            <v>0</v>
          </cell>
          <cell r="Z38">
            <v>787.1587954150343</v>
          </cell>
        </row>
        <row r="39">
          <cell r="B39" t="str">
            <v>ГН 200.316.1.2</v>
          </cell>
          <cell r="W39">
            <v>0</v>
          </cell>
          <cell r="X39">
            <v>74.96750432524138</v>
          </cell>
          <cell r="Y39">
            <v>0</v>
          </cell>
        </row>
        <row r="40">
          <cell r="B40" t="str">
            <v>ГН 200.317.1.A.1</v>
          </cell>
          <cell r="W40">
            <v>0</v>
          </cell>
          <cell r="X40">
            <v>209.90901211067586</v>
          </cell>
          <cell r="Y40">
            <v>0</v>
          </cell>
        </row>
        <row r="41">
          <cell r="B41" t="str">
            <v>ГН 200.317.1.B.1</v>
          </cell>
          <cell r="W41">
            <v>0</v>
          </cell>
          <cell r="X41">
            <v>262.3862651383448</v>
          </cell>
          <cell r="Y41">
            <v>0</v>
          </cell>
        </row>
        <row r="46">
          <cell r="W46">
            <v>780</v>
          </cell>
          <cell r="X46">
            <v>0</v>
          </cell>
          <cell r="Y46">
            <v>1870.4384585559978</v>
          </cell>
        </row>
        <row r="47">
          <cell r="W47">
            <v>1800</v>
          </cell>
          <cell r="X47">
            <v>0</v>
          </cell>
          <cell r="Y47">
            <v>1870.4384585559978</v>
          </cell>
        </row>
      </sheetData>
      <sheetData sheetId="7">
        <row r="6">
          <cell r="AL6">
            <v>791.55</v>
          </cell>
          <cell r="AM6">
            <v>0</v>
          </cell>
          <cell r="AN6">
            <v>0</v>
          </cell>
          <cell r="AO6">
            <v>23.015023827849102</v>
          </cell>
          <cell r="AP6">
            <v>0</v>
          </cell>
        </row>
        <row r="7">
          <cell r="AM7">
            <v>0</v>
          </cell>
          <cell r="AN7">
            <v>0</v>
          </cell>
          <cell r="AO7">
            <v>18.59194107265986</v>
          </cell>
          <cell r="AP7">
            <v>0</v>
          </cell>
        </row>
        <row r="8">
          <cell r="AM8">
            <v>0</v>
          </cell>
          <cell r="AN8">
            <v>119.45185834630644</v>
          </cell>
          <cell r="AO8">
            <v>0</v>
          </cell>
          <cell r="AP8">
            <v>51.87751299306703</v>
          </cell>
        </row>
        <row r="9">
          <cell r="AM9">
            <v>0</v>
          </cell>
          <cell r="AN9">
            <v>71.68937981792857</v>
          </cell>
          <cell r="AO9">
            <v>0</v>
          </cell>
          <cell r="AP9">
            <v>48.95378032438261</v>
          </cell>
        </row>
        <row r="10">
          <cell r="AM10">
            <v>0</v>
          </cell>
          <cell r="AN10">
            <v>36.98624054300773</v>
          </cell>
          <cell r="AO10">
            <v>0</v>
          </cell>
          <cell r="AP10">
            <v>0</v>
          </cell>
        </row>
        <row r="11">
          <cell r="AL11">
            <v>1374.549089473684</v>
          </cell>
          <cell r="AM11">
            <v>500.1913671312094</v>
          </cell>
          <cell r="AN11">
            <v>230.04528377243574</v>
          </cell>
          <cell r="AO11">
            <v>195.96505630618097</v>
          </cell>
          <cell r="AP11">
            <v>88.91146012973627</v>
          </cell>
        </row>
        <row r="12">
          <cell r="AL12">
            <v>1541.6852000000001</v>
          </cell>
          <cell r="AM12">
            <v>1462.970401224087</v>
          </cell>
          <cell r="AN12">
            <v>485.1498870633933</v>
          </cell>
          <cell r="AO12">
            <v>650.8678725517456</v>
          </cell>
          <cell r="AP12">
            <v>90.63571272921682</v>
          </cell>
        </row>
        <row r="13">
          <cell r="AL13">
            <v>0</v>
          </cell>
          <cell r="AM13">
            <v>500.1913671312094</v>
          </cell>
          <cell r="AN13">
            <v>230.04528377243574</v>
          </cell>
          <cell r="AO13">
            <v>195.96505630618097</v>
          </cell>
          <cell r="AP13">
            <v>88.91146012973627</v>
          </cell>
        </row>
        <row r="14">
          <cell r="AL14">
            <v>0</v>
          </cell>
          <cell r="AM14">
            <v>1462.970401224087</v>
          </cell>
          <cell r="AN14">
            <v>485.1498870633933</v>
          </cell>
          <cell r="AO14">
            <v>650.8678725517456</v>
          </cell>
          <cell r="AP14">
            <v>90.63571272921682</v>
          </cell>
        </row>
      </sheetData>
      <sheetData sheetId="8">
        <row r="18">
          <cell r="S18">
            <v>86.176</v>
          </cell>
          <cell r="T18">
            <v>101.62322277223079</v>
          </cell>
          <cell r="U18">
            <v>48.493070934165694</v>
          </cell>
          <cell r="V18">
            <v>7.346815423873654</v>
          </cell>
        </row>
        <row r="24">
          <cell r="S24">
            <v>87</v>
          </cell>
          <cell r="T24">
            <v>0</v>
          </cell>
          <cell r="U24">
            <v>0</v>
          </cell>
          <cell r="V24">
            <v>1.199480069203862</v>
          </cell>
        </row>
        <row r="25">
          <cell r="S25">
            <v>0</v>
          </cell>
          <cell r="T25">
            <v>0</v>
          </cell>
          <cell r="U25">
            <v>0</v>
          </cell>
          <cell r="V25">
            <v>5.097790294116413</v>
          </cell>
        </row>
        <row r="26">
          <cell r="S26">
            <v>0</v>
          </cell>
          <cell r="T26">
            <v>3.4185181972310055</v>
          </cell>
          <cell r="U26">
            <v>0</v>
          </cell>
          <cell r="V26">
            <v>0</v>
          </cell>
        </row>
        <row r="27">
          <cell r="S27">
            <v>0.2175</v>
          </cell>
          <cell r="T27">
            <v>32.1651484921281</v>
          </cell>
          <cell r="U27">
            <v>6.575331652090263</v>
          </cell>
          <cell r="V27">
            <v>0</v>
          </cell>
        </row>
        <row r="28">
          <cell r="S28">
            <v>0</v>
          </cell>
          <cell r="T28">
            <v>32.1651484921281</v>
          </cell>
          <cell r="U28">
            <v>6.575331652090263</v>
          </cell>
          <cell r="V28">
            <v>0</v>
          </cell>
        </row>
      </sheetData>
      <sheetData sheetId="9">
        <row r="6">
          <cell r="K6">
            <v>6000</v>
          </cell>
        </row>
        <row r="11">
          <cell r="R11">
            <v>2120.102831046356</v>
          </cell>
          <cell r="S11">
            <v>1136.4364872029337</v>
          </cell>
          <cell r="T11">
            <v>1939.5592719026447</v>
          </cell>
          <cell r="U11">
            <v>1625.3531022348473</v>
          </cell>
          <cell r="V11">
            <v>2833.333333333333</v>
          </cell>
        </row>
        <row r="12">
          <cell r="K12">
            <v>6600</v>
          </cell>
        </row>
        <row r="17">
          <cell r="R17">
            <v>2120.102831046356</v>
          </cell>
          <cell r="S17">
            <v>1136.4364872029337</v>
          </cell>
          <cell r="T17">
            <v>1939.5592719026447</v>
          </cell>
          <cell r="U17">
            <v>1625.3531022348473</v>
          </cell>
          <cell r="V17">
            <v>2833.333333333333</v>
          </cell>
        </row>
        <row r="18">
          <cell r="K18">
            <v>6800</v>
          </cell>
        </row>
        <row r="23">
          <cell r="R23">
            <v>2120.102831046356</v>
          </cell>
          <cell r="S23">
            <v>1136.4364872029337</v>
          </cell>
          <cell r="T23">
            <v>1939.5592719026447</v>
          </cell>
          <cell r="U23">
            <v>1625.3531022348473</v>
          </cell>
          <cell r="V23">
            <v>2833.333333333333</v>
          </cell>
        </row>
        <row r="24">
          <cell r="K24">
            <v>7300</v>
          </cell>
        </row>
        <row r="29">
          <cell r="R29">
            <v>2120.102831046356</v>
          </cell>
          <cell r="S29">
            <v>1136.4364872029337</v>
          </cell>
          <cell r="T29">
            <v>1939.5592719026447</v>
          </cell>
          <cell r="U29">
            <v>1625.3531022348473</v>
          </cell>
          <cell r="V29">
            <v>2833.333333333333</v>
          </cell>
        </row>
        <row r="30">
          <cell r="K30">
            <v>8100</v>
          </cell>
        </row>
        <row r="35">
          <cell r="R35">
            <v>2120.102831046356</v>
          </cell>
          <cell r="S35">
            <v>1136.4364872029337</v>
          </cell>
          <cell r="T35">
            <v>1939.5592719026447</v>
          </cell>
          <cell r="U35">
            <v>1625.3531022348473</v>
          </cell>
          <cell r="V35">
            <v>2833.333333333333</v>
          </cell>
        </row>
        <row r="36">
          <cell r="K36">
            <v>9000</v>
          </cell>
        </row>
        <row r="41">
          <cell r="R41">
            <v>2120.102831046356</v>
          </cell>
          <cell r="S41">
            <v>1136.4364872029337</v>
          </cell>
          <cell r="T41">
            <v>1939.5592719026447</v>
          </cell>
          <cell r="U41">
            <v>1625.3531022348473</v>
          </cell>
          <cell r="V41">
            <v>2833.333333333333</v>
          </cell>
        </row>
        <row r="50">
          <cell r="Q50">
            <v>6548.9936</v>
          </cell>
          <cell r="T50">
            <v>4124.71208797478</v>
          </cell>
        </row>
        <row r="53">
          <cell r="U53">
            <v>1713.7571488750177</v>
          </cell>
        </row>
        <row r="54">
          <cell r="U54">
            <v>3482.341441276917</v>
          </cell>
        </row>
        <row r="58">
          <cell r="Q58">
            <v>7780.8678</v>
          </cell>
          <cell r="T58">
            <v>4236.263734410739</v>
          </cell>
        </row>
        <row r="61">
          <cell r="R61">
            <v>0</v>
          </cell>
          <cell r="S61">
            <v>0</v>
          </cell>
          <cell r="T61">
            <v>1713.7571488750177</v>
          </cell>
        </row>
        <row r="62">
          <cell r="R62">
            <v>2120.102831046356</v>
          </cell>
          <cell r="S62">
            <v>1136.4364872029337</v>
          </cell>
          <cell r="T62">
            <v>225.802123027627</v>
          </cell>
        </row>
        <row r="76">
          <cell r="Q76">
            <v>7300</v>
          </cell>
          <cell r="R76">
            <v>2120.102831046356</v>
          </cell>
          <cell r="S76">
            <v>1136.4364872029337</v>
          </cell>
          <cell r="T76">
            <v>1939.5592719026447</v>
          </cell>
          <cell r="U76">
            <v>1625.3531022348473</v>
          </cell>
          <cell r="V76">
            <v>2833.333333333333</v>
          </cell>
        </row>
        <row r="83">
          <cell r="AJ83">
            <v>1541.6852000000001</v>
          </cell>
          <cell r="AK83">
            <v>1755.5644814689044</v>
          </cell>
          <cell r="AL83">
            <v>582.1798644760719</v>
          </cell>
          <cell r="AM83">
            <v>781.0414470620947</v>
          </cell>
          <cell r="AN83">
            <v>108.76285527506018</v>
          </cell>
        </row>
      </sheetData>
      <sheetData sheetId="10">
        <row r="11">
          <cell r="W11">
            <v>923.157928643654</v>
          </cell>
          <cell r="AA11">
            <v>2942.1282333097274</v>
          </cell>
        </row>
        <row r="16">
          <cell r="W16">
            <v>962.7143827741909</v>
          </cell>
          <cell r="AA16">
            <v>3337.7394416191646</v>
          </cell>
        </row>
        <row r="22">
          <cell r="W22">
            <v>1010.2822706526847</v>
          </cell>
          <cell r="AA22">
            <v>3566.4969722241012</v>
          </cell>
        </row>
        <row r="27">
          <cell r="W27">
            <v>5452.28674959137</v>
          </cell>
          <cell r="X27">
            <v>860.6269496537709</v>
          </cell>
          <cell r="Y27">
            <v>0</v>
          </cell>
          <cell r="Z27">
            <v>745.8585157594921</v>
          </cell>
        </row>
        <row r="28">
          <cell r="X28">
            <v>0</v>
          </cell>
          <cell r="Y28">
            <v>1004.5645579582347</v>
          </cell>
          <cell r="Z28">
            <v>5050.083700454894</v>
          </cell>
        </row>
        <row r="29">
          <cell r="X29">
            <v>2632.109076859225</v>
          </cell>
          <cell r="Y29">
            <v>0</v>
          </cell>
          <cell r="Z29">
            <v>0</v>
          </cell>
        </row>
        <row r="30">
          <cell r="X30">
            <v>844.1340987022178</v>
          </cell>
          <cell r="Y30">
            <v>0</v>
          </cell>
          <cell r="Z30">
            <v>0</v>
          </cell>
        </row>
        <row r="38">
          <cell r="AA38">
            <v>702.9427390199645</v>
          </cell>
        </row>
        <row r="46">
          <cell r="W46">
            <v>100.14292184946062</v>
          </cell>
          <cell r="X46">
            <v>51.72757798441655</v>
          </cell>
          <cell r="Y46">
            <v>0</v>
          </cell>
          <cell r="Z46">
            <v>41.954541511471426</v>
          </cell>
        </row>
        <row r="47">
          <cell r="X47">
            <v>74.96750432524138</v>
          </cell>
          <cell r="Y47">
            <v>0</v>
          </cell>
          <cell r="Z47">
            <v>466.1615723496825</v>
          </cell>
        </row>
        <row r="48">
          <cell r="X48">
            <v>47.22952772490206</v>
          </cell>
          <cell r="Y48">
            <v>0</v>
          </cell>
          <cell r="Z48">
            <v>0</v>
          </cell>
        </row>
      </sheetData>
      <sheetData sheetId="11">
        <row r="7">
          <cell r="S7">
            <v>3740.2993759799974</v>
          </cell>
          <cell r="T7">
            <v>0</v>
          </cell>
          <cell r="U7">
            <v>0</v>
          </cell>
          <cell r="V7">
            <v>233.89861349475308</v>
          </cell>
          <cell r="W7">
            <v>142.8130957395848</v>
          </cell>
          <cell r="X7">
            <v>0</v>
          </cell>
        </row>
        <row r="8">
          <cell r="T8">
            <v>0</v>
          </cell>
          <cell r="U8">
            <v>0</v>
          </cell>
          <cell r="V8">
            <v>494.78552854659307</v>
          </cell>
          <cell r="W8">
            <v>50.22822789791172</v>
          </cell>
          <cell r="X8">
            <v>0</v>
          </cell>
        </row>
        <row r="9">
          <cell r="T9">
            <v>0</v>
          </cell>
          <cell r="U9">
            <v>0</v>
          </cell>
          <cell r="V9">
            <v>561.3566723874075</v>
          </cell>
          <cell r="W9">
            <v>37.558719666945926</v>
          </cell>
          <cell r="X9">
            <v>0</v>
          </cell>
        </row>
        <row r="10">
          <cell r="T10">
            <v>2525.041850227447</v>
          </cell>
          <cell r="U10">
            <v>1142.0985783477893</v>
          </cell>
          <cell r="V10">
            <v>0</v>
          </cell>
          <cell r="W10">
            <v>0</v>
          </cell>
          <cell r="X10">
            <v>0</v>
          </cell>
        </row>
        <row r="12">
          <cell r="S12">
            <v>4973.209403156771</v>
          </cell>
          <cell r="T12">
            <v>0</v>
          </cell>
          <cell r="U12">
            <v>0</v>
          </cell>
          <cell r="V12">
            <v>359.84402076115856</v>
          </cell>
          <cell r="W12">
            <v>185.99437823092384</v>
          </cell>
          <cell r="X12">
            <v>0</v>
          </cell>
        </row>
        <row r="13">
          <cell r="T13">
            <v>0</v>
          </cell>
          <cell r="U13">
            <v>0</v>
          </cell>
          <cell r="V13">
            <v>562.2562824393103</v>
          </cell>
          <cell r="W13">
            <v>65.37166377161047</v>
          </cell>
          <cell r="X13">
            <v>0</v>
          </cell>
        </row>
        <row r="14">
          <cell r="T14">
            <v>0</v>
          </cell>
          <cell r="U14">
            <v>0</v>
          </cell>
          <cell r="V14">
            <v>829.0656303328444</v>
          </cell>
          <cell r="W14">
            <v>48.95378032438261</v>
          </cell>
          <cell r="X14">
            <v>920.4192</v>
          </cell>
        </row>
        <row r="15">
          <cell r="T15">
            <v>4195.454151147143</v>
          </cell>
          <cell r="U15">
            <v>1960.727369033027</v>
          </cell>
          <cell r="V15">
            <v>0</v>
          </cell>
          <cell r="W15">
            <v>0</v>
          </cell>
          <cell r="X15">
            <v>0</v>
          </cell>
        </row>
        <row r="17">
          <cell r="S17">
            <v>6206.119430333545</v>
          </cell>
          <cell r="T17">
            <v>0</v>
          </cell>
          <cell r="U17">
            <v>0</v>
          </cell>
          <cell r="V17">
            <v>575.7504332178538</v>
          </cell>
          <cell r="W17">
            <v>229.1756607222629</v>
          </cell>
          <cell r="X17">
            <v>0</v>
          </cell>
        </row>
        <row r="18">
          <cell r="T18">
            <v>0</v>
          </cell>
          <cell r="U18">
            <v>0</v>
          </cell>
          <cell r="V18">
            <v>652.2172876295999</v>
          </cell>
          <cell r="W18">
            <v>802.4521662973837</v>
          </cell>
          <cell r="X18">
            <v>1844.2728</v>
          </cell>
        </row>
        <row r="19">
          <cell r="T19">
            <v>0</v>
          </cell>
          <cell r="U19">
            <v>0</v>
          </cell>
          <cell r="V19">
            <v>773.8145796451414</v>
          </cell>
          <cell r="W19">
            <v>40.18258231832938</v>
          </cell>
          <cell r="X19">
            <v>920.4192</v>
          </cell>
        </row>
        <row r="20">
          <cell r="T20">
            <v>3542.827949857587</v>
          </cell>
          <cell r="U20">
            <v>1408.8561305110622</v>
          </cell>
          <cell r="V20">
            <v>0</v>
          </cell>
          <cell r="W20">
            <v>0</v>
          </cell>
          <cell r="X20">
            <v>1844.2728</v>
          </cell>
        </row>
        <row r="22">
          <cell r="S22">
            <v>12055.819430333544</v>
          </cell>
          <cell r="T22">
            <v>0</v>
          </cell>
          <cell r="U22">
            <v>0</v>
          </cell>
          <cell r="V22">
            <v>575.7504332178538</v>
          </cell>
          <cell r="W22">
            <v>229.1756607222629</v>
          </cell>
          <cell r="X22">
            <v>0</v>
          </cell>
        </row>
        <row r="23">
          <cell r="T23">
            <v>0</v>
          </cell>
          <cell r="U23">
            <v>0</v>
          </cell>
          <cell r="V23">
            <v>652.2172876295999</v>
          </cell>
          <cell r="W23">
            <v>802.4521662973837</v>
          </cell>
          <cell r="X23">
            <v>1844.2728</v>
          </cell>
        </row>
        <row r="24">
          <cell r="T24">
            <v>0</v>
          </cell>
          <cell r="U24">
            <v>0</v>
          </cell>
          <cell r="V24">
            <v>773.8145796451414</v>
          </cell>
          <cell r="W24">
            <v>40.18258231832938</v>
          </cell>
          <cell r="X24">
            <v>920.4192</v>
          </cell>
        </row>
        <row r="25">
          <cell r="T25">
            <v>3542.827949857587</v>
          </cell>
          <cell r="U25">
            <v>1408.8561305110622</v>
          </cell>
          <cell r="V25">
            <v>0</v>
          </cell>
          <cell r="W25">
            <v>0</v>
          </cell>
          <cell r="X25">
            <v>1844.2728</v>
          </cell>
        </row>
        <row r="27">
          <cell r="S27">
            <v>12331.219430333544</v>
          </cell>
          <cell r="T27">
            <v>0</v>
          </cell>
          <cell r="U27">
            <v>0</v>
          </cell>
          <cell r="V27">
            <v>575.7504332178538</v>
          </cell>
          <cell r="W27">
            <v>229.1756607222629</v>
          </cell>
          <cell r="X27">
            <v>0</v>
          </cell>
        </row>
        <row r="28">
          <cell r="T28">
            <v>0</v>
          </cell>
          <cell r="U28">
            <v>0</v>
          </cell>
          <cell r="V28">
            <v>652.2172876295999</v>
          </cell>
          <cell r="W28">
            <v>802.4521662973837</v>
          </cell>
          <cell r="X28">
            <v>1844.2728</v>
          </cell>
        </row>
        <row r="29">
          <cell r="T29">
            <v>0</v>
          </cell>
          <cell r="U29">
            <v>0</v>
          </cell>
          <cell r="V29">
            <v>773.8145796451414</v>
          </cell>
          <cell r="W29">
            <v>40.18258231832938</v>
          </cell>
          <cell r="X29">
            <v>920.4192</v>
          </cell>
        </row>
        <row r="30">
          <cell r="T30">
            <v>3542.827949857587</v>
          </cell>
          <cell r="U30">
            <v>1408.8561305110622</v>
          </cell>
          <cell r="V30">
            <v>0</v>
          </cell>
          <cell r="W30">
            <v>0</v>
          </cell>
          <cell r="X30">
            <v>1844.2728</v>
          </cell>
        </row>
        <row r="32">
          <cell r="S32">
            <v>13891.819430333544</v>
          </cell>
          <cell r="T32">
            <v>0</v>
          </cell>
          <cell r="U32">
            <v>0</v>
          </cell>
          <cell r="V32">
            <v>575.7504332178538</v>
          </cell>
          <cell r="W32">
            <v>229.1756607222629</v>
          </cell>
          <cell r="X32">
            <v>0</v>
          </cell>
        </row>
        <row r="33">
          <cell r="T33">
            <v>0</v>
          </cell>
          <cell r="U33">
            <v>0</v>
          </cell>
          <cell r="V33">
            <v>652.2172876295999</v>
          </cell>
          <cell r="W33">
            <v>802.4521662973837</v>
          </cell>
          <cell r="X33">
            <v>1844.2728</v>
          </cell>
        </row>
        <row r="34">
          <cell r="T34">
            <v>0</v>
          </cell>
          <cell r="U34">
            <v>0</v>
          </cell>
          <cell r="V34">
            <v>773.8145796451414</v>
          </cell>
          <cell r="W34">
            <v>40.18258231832938</v>
          </cell>
          <cell r="X34">
            <v>920.4192</v>
          </cell>
        </row>
        <row r="35">
          <cell r="T35">
            <v>3542.827949857587</v>
          </cell>
          <cell r="U35">
            <v>1408.8561305110622</v>
          </cell>
          <cell r="V35">
            <v>0</v>
          </cell>
          <cell r="W35">
            <v>0</v>
          </cell>
          <cell r="X35">
            <v>1844.2728</v>
          </cell>
        </row>
        <row r="37">
          <cell r="S37">
            <v>18063.619430333543</v>
          </cell>
          <cell r="T37">
            <v>0</v>
          </cell>
          <cell r="U37">
            <v>0</v>
          </cell>
          <cell r="V37">
            <v>575.7504332178538</v>
          </cell>
          <cell r="W37">
            <v>229.1756607222629</v>
          </cell>
          <cell r="X37">
            <v>0</v>
          </cell>
        </row>
        <row r="38">
          <cell r="T38">
            <v>0</v>
          </cell>
          <cell r="U38">
            <v>0</v>
          </cell>
          <cell r="V38">
            <v>652.2172876295999</v>
          </cell>
          <cell r="W38">
            <v>802.4521662973837</v>
          </cell>
          <cell r="X38">
            <v>1844.2728</v>
          </cell>
        </row>
        <row r="39">
          <cell r="T39">
            <v>0</v>
          </cell>
          <cell r="U39">
            <v>0</v>
          </cell>
          <cell r="V39">
            <v>773.8145796451414</v>
          </cell>
          <cell r="W39">
            <v>40.18258231832938</v>
          </cell>
          <cell r="X39">
            <v>920.4192</v>
          </cell>
        </row>
        <row r="40">
          <cell r="T40">
            <v>3542.827949857587</v>
          </cell>
          <cell r="U40">
            <v>1408.8561305110622</v>
          </cell>
          <cell r="V40">
            <v>0</v>
          </cell>
          <cell r="W40">
            <v>0</v>
          </cell>
          <cell r="X40">
            <v>1844.2728</v>
          </cell>
        </row>
        <row r="42">
          <cell r="S42">
            <v>22102.819430333544</v>
          </cell>
          <cell r="T42">
            <v>0</v>
          </cell>
          <cell r="U42">
            <v>0</v>
          </cell>
          <cell r="V42">
            <v>575.7504332178538</v>
          </cell>
          <cell r="W42">
            <v>229.1756607222629</v>
          </cell>
          <cell r="X42">
            <v>0</v>
          </cell>
        </row>
        <row r="43">
          <cell r="T43">
            <v>0</v>
          </cell>
          <cell r="U43">
            <v>0</v>
          </cell>
          <cell r="V43">
            <v>652.2172876295999</v>
          </cell>
          <cell r="W43">
            <v>802.4521662973837</v>
          </cell>
          <cell r="X43">
            <v>1844.2728</v>
          </cell>
        </row>
        <row r="44">
          <cell r="T44">
            <v>0</v>
          </cell>
          <cell r="U44">
            <v>0</v>
          </cell>
          <cell r="V44">
            <v>773.8145796451414</v>
          </cell>
          <cell r="W44">
            <v>40.18258231832938</v>
          </cell>
          <cell r="X44">
            <v>920.4192</v>
          </cell>
        </row>
        <row r="45">
          <cell r="T45">
            <v>3542.827949857587</v>
          </cell>
          <cell r="U45">
            <v>1408.8561305110622</v>
          </cell>
          <cell r="V45">
            <v>0</v>
          </cell>
          <cell r="W45">
            <v>0</v>
          </cell>
          <cell r="X45">
            <v>1844.2728</v>
          </cell>
        </row>
        <row r="47">
          <cell r="S47">
            <v>32078.419430333546</v>
          </cell>
          <cell r="T47">
            <v>0</v>
          </cell>
          <cell r="U47">
            <v>0</v>
          </cell>
          <cell r="V47">
            <v>575.7504332178538</v>
          </cell>
          <cell r="W47">
            <v>229.1756607222629</v>
          </cell>
          <cell r="X47">
            <v>0</v>
          </cell>
        </row>
        <row r="48">
          <cell r="T48">
            <v>0</v>
          </cell>
          <cell r="U48">
            <v>0</v>
          </cell>
          <cell r="V48">
            <v>652.2172876295999</v>
          </cell>
          <cell r="W48">
            <v>802.4521662973837</v>
          </cell>
          <cell r="X48">
            <v>1844.2728</v>
          </cell>
        </row>
        <row r="49">
          <cell r="T49">
            <v>0</v>
          </cell>
          <cell r="U49">
            <v>0</v>
          </cell>
          <cell r="V49">
            <v>773.8145796451414</v>
          </cell>
          <cell r="W49">
            <v>40.18258231832938</v>
          </cell>
          <cell r="X49">
            <v>920.4192</v>
          </cell>
        </row>
        <row r="50">
          <cell r="T50">
            <v>3542.827949857587</v>
          </cell>
          <cell r="U50">
            <v>1408.8561305110622</v>
          </cell>
          <cell r="V50">
            <v>0</v>
          </cell>
          <cell r="W50">
            <v>0</v>
          </cell>
          <cell r="X50">
            <v>1844.2728</v>
          </cell>
        </row>
        <row r="52">
          <cell r="S52">
            <v>37596.61943033355</v>
          </cell>
          <cell r="T52">
            <v>0</v>
          </cell>
          <cell r="U52">
            <v>0</v>
          </cell>
          <cell r="V52">
            <v>575.7504332178538</v>
          </cell>
          <cell r="W52">
            <v>229.1756607222629</v>
          </cell>
          <cell r="X52">
            <v>0</v>
          </cell>
        </row>
        <row r="53">
          <cell r="T53">
            <v>0</v>
          </cell>
          <cell r="U53">
            <v>0</v>
          </cell>
          <cell r="V53">
            <v>652.2172876295999</v>
          </cell>
          <cell r="W53">
            <v>802.4521662973837</v>
          </cell>
          <cell r="X53">
            <v>1844.2728</v>
          </cell>
        </row>
        <row r="54">
          <cell r="T54">
            <v>0</v>
          </cell>
          <cell r="U54">
            <v>0</v>
          </cell>
          <cell r="V54">
            <v>773.8145796451414</v>
          </cell>
          <cell r="W54">
            <v>40.18258231832938</v>
          </cell>
          <cell r="X54">
            <v>920.4192</v>
          </cell>
        </row>
        <row r="55">
          <cell r="T55">
            <v>3542.827949857587</v>
          </cell>
          <cell r="U55">
            <v>1408.8561305110622</v>
          </cell>
          <cell r="V55">
            <v>0</v>
          </cell>
          <cell r="W55">
            <v>0</v>
          </cell>
          <cell r="X55">
            <v>1844.2728</v>
          </cell>
        </row>
        <row r="57">
          <cell r="S57">
            <v>43476.919430333546</v>
          </cell>
          <cell r="T57">
            <v>0</v>
          </cell>
          <cell r="U57">
            <v>0</v>
          </cell>
          <cell r="V57">
            <v>575.7504332178538</v>
          </cell>
          <cell r="W57">
            <v>229.1756607222629</v>
          </cell>
          <cell r="X57">
            <v>0</v>
          </cell>
        </row>
        <row r="58">
          <cell r="T58">
            <v>0</v>
          </cell>
          <cell r="U58">
            <v>0</v>
          </cell>
          <cell r="V58">
            <v>652.2172876295999</v>
          </cell>
          <cell r="W58">
            <v>802.4521662973837</v>
          </cell>
          <cell r="X58">
            <v>1844.2728</v>
          </cell>
        </row>
        <row r="59">
          <cell r="T59">
            <v>0</v>
          </cell>
          <cell r="U59">
            <v>0</v>
          </cell>
          <cell r="V59">
            <v>773.8145796451414</v>
          </cell>
          <cell r="W59">
            <v>40.18258231832938</v>
          </cell>
          <cell r="X59">
            <v>920.4192</v>
          </cell>
        </row>
        <row r="60">
          <cell r="T60">
            <v>3542.827949857587</v>
          </cell>
          <cell r="U60">
            <v>1408.8561305110622</v>
          </cell>
          <cell r="V60">
            <v>0</v>
          </cell>
          <cell r="W60">
            <v>0</v>
          </cell>
          <cell r="X60">
            <v>1844.2728</v>
          </cell>
        </row>
        <row r="67">
          <cell r="M67">
            <v>142.59000000000003</v>
          </cell>
          <cell r="N67">
            <v>67.47075389271723</v>
          </cell>
          <cell r="O67">
            <v>173.51569637460418</v>
          </cell>
          <cell r="P67">
            <v>745.8585157594921</v>
          </cell>
        </row>
        <row r="68">
          <cell r="N68">
            <v>0</v>
          </cell>
          <cell r="O68">
            <v>0</v>
          </cell>
          <cell r="P68">
            <v>0</v>
          </cell>
        </row>
        <row r="69">
          <cell r="N69">
            <v>0</v>
          </cell>
          <cell r="O69">
            <v>0</v>
          </cell>
          <cell r="P69">
            <v>0</v>
          </cell>
        </row>
        <row r="76">
          <cell r="M76">
            <v>216.12150000000003</v>
          </cell>
          <cell r="N76">
            <v>74.96750432524138</v>
          </cell>
          <cell r="O76">
            <v>173.51569637460418</v>
          </cell>
          <cell r="P76">
            <v>745.8585157594921</v>
          </cell>
        </row>
        <row r="77">
          <cell r="N77">
            <v>0</v>
          </cell>
          <cell r="O77">
            <v>0</v>
          </cell>
          <cell r="P77">
            <v>0</v>
          </cell>
        </row>
        <row r="78">
          <cell r="N78">
            <v>0</v>
          </cell>
          <cell r="O78">
            <v>0</v>
          </cell>
          <cell r="P78">
            <v>0</v>
          </cell>
        </row>
        <row r="85">
          <cell r="M85">
            <v>259.875</v>
          </cell>
          <cell r="N85">
            <v>82.46425475776552</v>
          </cell>
          <cell r="O85">
            <v>191.78050651929934</v>
          </cell>
          <cell r="P85">
            <v>776.9359539161376</v>
          </cell>
        </row>
        <row r="86">
          <cell r="N86">
            <v>0</v>
          </cell>
          <cell r="O86">
            <v>0</v>
          </cell>
          <cell r="P86">
            <v>0</v>
          </cell>
        </row>
        <row r="87">
          <cell r="N87">
            <v>0</v>
          </cell>
          <cell r="O87">
            <v>0</v>
          </cell>
          <cell r="P87">
            <v>0</v>
          </cell>
        </row>
        <row r="94">
          <cell r="M94">
            <v>311.85</v>
          </cell>
          <cell r="N94">
            <v>82.46425475776552</v>
          </cell>
          <cell r="O94">
            <v>191.78050651929934</v>
          </cell>
          <cell r="P94">
            <v>776.9359539161376</v>
          </cell>
        </row>
        <row r="95">
          <cell r="N95">
            <v>0</v>
          </cell>
          <cell r="O95">
            <v>0</v>
          </cell>
          <cell r="P95">
            <v>0</v>
          </cell>
        </row>
        <row r="96">
          <cell r="N96">
            <v>0</v>
          </cell>
          <cell r="O96">
            <v>0</v>
          </cell>
          <cell r="P96">
            <v>0</v>
          </cell>
        </row>
        <row r="104">
          <cell r="O104">
            <v>140.05</v>
          </cell>
          <cell r="P104">
            <v>0.06747075389271724</v>
          </cell>
          <cell r="Q104">
            <v>0</v>
          </cell>
          <cell r="R104">
            <v>57.64864778057741</v>
          </cell>
        </row>
        <row r="105">
          <cell r="P105">
            <v>0</v>
          </cell>
          <cell r="Q105">
            <v>0</v>
          </cell>
          <cell r="R105">
            <v>0</v>
          </cell>
        </row>
        <row r="107">
          <cell r="P107">
            <v>0</v>
          </cell>
          <cell r="Q107">
            <v>0</v>
          </cell>
          <cell r="R107">
            <v>0</v>
          </cell>
        </row>
        <row r="113">
          <cell r="O113">
            <v>215.84</v>
          </cell>
          <cell r="P113">
            <v>0.08996100519028966</v>
          </cell>
          <cell r="Q113">
            <v>0</v>
          </cell>
          <cell r="R113">
            <v>144.6654746191848</v>
          </cell>
        </row>
        <row r="114">
          <cell r="P114">
            <v>0</v>
          </cell>
          <cell r="Q114">
            <v>0</v>
          </cell>
          <cell r="R114">
            <v>0</v>
          </cell>
        </row>
        <row r="116">
          <cell r="P116">
            <v>0</v>
          </cell>
          <cell r="Q116">
            <v>0</v>
          </cell>
          <cell r="R116">
            <v>0</v>
          </cell>
        </row>
        <row r="122">
          <cell r="O122">
            <v>350.284</v>
          </cell>
          <cell r="P122">
            <v>0.13494150778543448</v>
          </cell>
          <cell r="Q122">
            <v>0</v>
          </cell>
          <cell r="R122">
            <v>182.26917478872588</v>
          </cell>
        </row>
        <row r="123">
          <cell r="P123">
            <v>0</v>
          </cell>
          <cell r="Q123">
            <v>0</v>
          </cell>
          <cell r="R123">
            <v>0</v>
          </cell>
        </row>
        <row r="125">
          <cell r="P125">
            <v>0</v>
          </cell>
          <cell r="Q125">
            <v>0</v>
          </cell>
          <cell r="R125">
            <v>0</v>
          </cell>
        </row>
        <row r="131">
          <cell r="O131">
            <v>560</v>
          </cell>
          <cell r="P131">
            <v>0.08996100519028966</v>
          </cell>
          <cell r="Q131">
            <v>0</v>
          </cell>
          <cell r="R131">
            <v>144.6654746191848</v>
          </cell>
        </row>
        <row r="132">
          <cell r="P132">
            <v>0</v>
          </cell>
          <cell r="Q132">
            <v>0</v>
          </cell>
          <cell r="R132">
            <v>0</v>
          </cell>
        </row>
        <row r="134">
          <cell r="P134">
            <v>0</v>
          </cell>
          <cell r="Q134">
            <v>0</v>
          </cell>
          <cell r="R134">
            <v>0</v>
          </cell>
        </row>
        <row r="140">
          <cell r="O140">
            <v>1067.1840000000002</v>
          </cell>
          <cell r="P140">
            <v>0.13494150778543448</v>
          </cell>
          <cell r="Q140">
            <v>0</v>
          </cell>
          <cell r="R140">
            <v>215.52203361633656</v>
          </cell>
        </row>
        <row r="141">
          <cell r="P141">
            <v>0</v>
          </cell>
          <cell r="Q141">
            <v>0</v>
          </cell>
          <cell r="R141">
            <v>0</v>
          </cell>
        </row>
        <row r="143">
          <cell r="P143">
            <v>0</v>
          </cell>
          <cell r="Q143">
            <v>0</v>
          </cell>
          <cell r="R143">
            <v>0</v>
          </cell>
        </row>
        <row r="149">
          <cell r="O149">
            <v>2308.6965999999998</v>
          </cell>
          <cell r="P149">
            <v>0.2024122616781517</v>
          </cell>
          <cell r="Q149">
            <v>0</v>
          </cell>
          <cell r="R149">
            <v>413.32992748338523</v>
          </cell>
        </row>
        <row r="150">
          <cell r="P150">
            <v>0</v>
          </cell>
          <cell r="Q150">
            <v>0</v>
          </cell>
          <cell r="R150">
            <v>0</v>
          </cell>
        </row>
        <row r="152">
          <cell r="P152">
            <v>0</v>
          </cell>
          <cell r="Q152">
            <v>0</v>
          </cell>
          <cell r="R152">
            <v>0</v>
          </cell>
        </row>
        <row r="158">
          <cell r="O158">
            <v>3731.484</v>
          </cell>
          <cell r="P158">
            <v>0.2848765164359172</v>
          </cell>
          <cell r="Q158">
            <v>0</v>
          </cell>
          <cell r="R158">
            <v>501.90062622982487</v>
          </cell>
        </row>
        <row r="159">
          <cell r="P159">
            <v>0</v>
          </cell>
          <cell r="Q159">
            <v>0</v>
          </cell>
          <cell r="R159">
            <v>0</v>
          </cell>
        </row>
        <row r="161">
          <cell r="P161">
            <v>0</v>
          </cell>
          <cell r="Q161">
            <v>0</v>
          </cell>
          <cell r="R161">
            <v>0</v>
          </cell>
        </row>
        <row r="167">
          <cell r="O167">
            <v>4682.3679999999995</v>
          </cell>
          <cell r="P167">
            <v>47.37946273355255</v>
          </cell>
          <cell r="Q167">
            <v>0</v>
          </cell>
          <cell r="R167">
            <v>560.9477587274513</v>
          </cell>
        </row>
        <row r="168">
          <cell r="P168">
            <v>0</v>
          </cell>
          <cell r="Q168">
            <v>0</v>
          </cell>
          <cell r="R168">
            <v>0</v>
          </cell>
        </row>
        <row r="170">
          <cell r="P170">
            <v>0</v>
          </cell>
          <cell r="Q170">
            <v>0</v>
          </cell>
          <cell r="R170">
            <v>0</v>
          </cell>
        </row>
        <row r="178">
          <cell r="Q178">
            <v>7300</v>
          </cell>
        </row>
        <row r="183">
          <cell r="R183">
            <v>2120.102831046356</v>
          </cell>
          <cell r="S183">
            <v>1136.4364872029337</v>
          </cell>
          <cell r="T183">
            <v>1939.5592719026447</v>
          </cell>
          <cell r="U183">
            <v>1625.3531022348473</v>
          </cell>
          <cell r="V183">
            <v>2833.333333333333</v>
          </cell>
        </row>
        <row r="201">
          <cell r="J201">
            <v>1522.4405093543282</v>
          </cell>
        </row>
        <row r="207">
          <cell r="G207">
            <v>780</v>
          </cell>
          <cell r="H207">
            <v>1870.4384585559978</v>
          </cell>
        </row>
        <row r="213">
          <cell r="M213">
            <v>1292.7</v>
          </cell>
          <cell r="N213">
            <v>1187.1581375838582</v>
          </cell>
          <cell r="O213">
            <v>0</v>
          </cell>
          <cell r="P213">
            <v>0</v>
          </cell>
        </row>
        <row r="214">
          <cell r="N214">
            <v>0</v>
          </cell>
          <cell r="O214">
            <v>228.3101268086897</v>
          </cell>
          <cell r="P214">
            <v>0</v>
          </cell>
        </row>
        <row r="215">
          <cell r="N215">
            <v>0</v>
          </cell>
          <cell r="O215">
            <v>0</v>
          </cell>
          <cell r="P215">
            <v>472.29527724902067</v>
          </cell>
        </row>
        <row r="222">
          <cell r="O222">
            <v>2613.145035089001</v>
          </cell>
          <cell r="P222">
            <v>125.94540726640551</v>
          </cell>
          <cell r="Q222">
            <v>341.85181972310056</v>
          </cell>
        </row>
        <row r="231">
          <cell r="O231">
            <v>2450.645035089001</v>
          </cell>
          <cell r="P231">
            <v>125.94540726640551</v>
          </cell>
          <cell r="Q231">
            <v>341.85181972310056</v>
          </cell>
        </row>
        <row r="240">
          <cell r="O240">
            <v>2763.2164960137316</v>
          </cell>
          <cell r="P240">
            <v>280.37846617640275</v>
          </cell>
          <cell r="Q240">
            <v>404.00669603639153</v>
          </cell>
        </row>
        <row r="249">
          <cell r="O249">
            <v>2563.2164960137316</v>
          </cell>
          <cell r="P249">
            <v>66.72107884946483</v>
          </cell>
          <cell r="Q249">
            <v>233.08078617484125</v>
          </cell>
        </row>
        <row r="257">
          <cell r="O257">
            <v>2363.2164960137316</v>
          </cell>
          <cell r="P257">
            <v>110.95190640135725</v>
          </cell>
          <cell r="Q257">
            <v>776.9359539161376</v>
          </cell>
        </row>
        <row r="265">
          <cell r="O265">
            <v>2219.395035089001</v>
          </cell>
          <cell r="P265">
            <v>158.93110916951173</v>
          </cell>
          <cell r="Q265">
            <v>326.31310064477776</v>
          </cell>
        </row>
        <row r="273">
          <cell r="O273">
            <v>1209.4643550771602</v>
          </cell>
          <cell r="P273">
            <v>0</v>
          </cell>
          <cell r="Q273">
            <v>1274.1749644224656</v>
          </cell>
        </row>
        <row r="286">
          <cell r="Q286">
            <v>7300</v>
          </cell>
          <cell r="R286">
            <v>2120.102831046356</v>
          </cell>
          <cell r="S286">
            <v>1136.4364872029337</v>
          </cell>
          <cell r="T286">
            <v>1939.5592719026447</v>
          </cell>
          <cell r="U286">
            <v>1625.3531022348473</v>
          </cell>
          <cell r="V286">
            <v>2833.333333333333</v>
          </cell>
        </row>
        <row r="292">
          <cell r="AK292">
            <v>344.9000210526316</v>
          </cell>
          <cell r="AL292">
            <v>492.88816916439765</v>
          </cell>
          <cell r="AM292">
            <v>139.45182545474768</v>
          </cell>
          <cell r="AN292">
            <v>107.20353118509516</v>
          </cell>
          <cell r="AO292">
            <v>88.91146012973627</v>
          </cell>
        </row>
        <row r="293">
          <cell r="AL293">
            <v>128.34981958694593</v>
          </cell>
          <cell r="AM293">
            <v>53.333245622509914</v>
          </cell>
          <cell r="AN293">
            <v>78.94078205447917</v>
          </cell>
          <cell r="AO293">
            <v>88.46165510378482</v>
          </cell>
        </row>
        <row r="298">
          <cell r="Z298">
            <v>236.14763862451034</v>
          </cell>
        </row>
        <row r="299">
          <cell r="Z299">
            <v>76.80000000000001</v>
          </cell>
        </row>
        <row r="300">
          <cell r="Z300">
            <v>6.370020000000001</v>
          </cell>
        </row>
        <row r="307">
          <cell r="B307" t="str">
            <v>ГН 200-501.3</v>
          </cell>
          <cell r="R307">
            <v>1933.638202106483</v>
          </cell>
          <cell r="S307">
            <v>1136.4364872029337</v>
          </cell>
          <cell r="T307">
            <v>0</v>
          </cell>
          <cell r="U307">
            <v>1625.3531022348473</v>
          </cell>
          <cell r="V307">
            <v>2833.333333333333</v>
          </cell>
        </row>
        <row r="308">
          <cell r="R308">
            <v>0</v>
          </cell>
          <cell r="S308">
            <v>0</v>
          </cell>
          <cell r="T308">
            <v>225.802123027627</v>
          </cell>
        </row>
        <row r="309">
          <cell r="R309">
            <v>0</v>
          </cell>
          <cell r="S309">
            <v>0</v>
          </cell>
          <cell r="T309">
            <v>1713.7571488750177</v>
          </cell>
        </row>
        <row r="310">
          <cell r="R310">
            <v>0</v>
          </cell>
          <cell r="S310">
            <v>0</v>
          </cell>
          <cell r="T310">
            <v>0</v>
          </cell>
        </row>
        <row r="311">
          <cell r="R311">
            <v>186.46462893987302</v>
          </cell>
          <cell r="S311">
            <v>0</v>
          </cell>
          <cell r="T311">
            <v>0</v>
          </cell>
        </row>
        <row r="312">
          <cell r="Q312">
            <v>7300</v>
          </cell>
        </row>
        <row r="319">
          <cell r="Z319">
            <v>149.93500865048276</v>
          </cell>
        </row>
        <row r="320">
          <cell r="Z320">
            <v>120</v>
          </cell>
        </row>
        <row r="321">
          <cell r="Z321">
            <v>212.33400000000003</v>
          </cell>
        </row>
        <row r="333">
          <cell r="Q333">
            <v>7300</v>
          </cell>
          <cell r="R333">
            <v>2120.102831046356</v>
          </cell>
          <cell r="S333">
            <v>1136.4364872029337</v>
          </cell>
          <cell r="T333">
            <v>1939.5592719026447</v>
          </cell>
          <cell r="U333">
            <v>1625.3531022348473</v>
          </cell>
          <cell r="V333">
            <v>2833.333333333333</v>
          </cell>
        </row>
        <row r="339">
          <cell r="Z339">
            <v>149.93500865048276</v>
          </cell>
        </row>
        <row r="340">
          <cell r="Z340">
            <v>120</v>
          </cell>
        </row>
        <row r="341">
          <cell r="Z341">
            <v>212.33400000000003</v>
          </cell>
        </row>
        <row r="348">
          <cell r="O348">
            <v>4050.07146092473</v>
          </cell>
          <cell r="P348">
            <v>100.45645579582344</v>
          </cell>
          <cell r="Q348">
            <v>470.3188612259008</v>
          </cell>
          <cell r="R348">
            <v>2354.1159403658967</v>
          </cell>
        </row>
        <row r="354">
          <cell r="O354">
            <v>4775.071460924731</v>
          </cell>
          <cell r="P354">
            <v>100.45645579582344</v>
          </cell>
          <cell r="Q354">
            <v>470.3188612259008</v>
          </cell>
          <cell r="R354">
            <v>2354.1159403658967</v>
          </cell>
        </row>
        <row r="358">
          <cell r="B358" t="str">
            <v>ГН 410-454.1-3.А-Б1.13</v>
          </cell>
        </row>
        <row r="360">
          <cell r="O360">
            <v>24914.07146092473</v>
          </cell>
          <cell r="P360">
            <v>17172</v>
          </cell>
          <cell r="Q360">
            <v>913.2405072347588</v>
          </cell>
          <cell r="R360">
            <v>1553.8719078322752</v>
          </cell>
        </row>
        <row r="364">
          <cell r="B364" t="str">
            <v>ГН 410-454.1-3.А-Б1.13-13'</v>
          </cell>
        </row>
        <row r="366">
          <cell r="O366">
            <v>35592.07146092473</v>
          </cell>
          <cell r="P366">
            <v>17172</v>
          </cell>
          <cell r="Q366">
            <v>913.2405072347588</v>
          </cell>
          <cell r="R366">
            <v>1553.8719078322752</v>
          </cell>
        </row>
        <row r="372">
          <cell r="O372">
            <v>9020.07146092473</v>
          </cell>
          <cell r="P372">
            <v>100.45645579582344</v>
          </cell>
          <cell r="Q372">
            <v>492.236633399535</v>
          </cell>
          <cell r="R372">
            <v>2354.1159403658967</v>
          </cell>
        </row>
        <row r="378">
          <cell r="O378">
            <v>13550.07146092473</v>
          </cell>
          <cell r="P378">
            <v>100.45645579582344</v>
          </cell>
          <cell r="Q378">
            <v>492.236633399535</v>
          </cell>
          <cell r="R378">
            <v>2354.1159403658967</v>
          </cell>
        </row>
        <row r="384">
          <cell r="O384">
            <v>14850.07146092473</v>
          </cell>
          <cell r="P384">
            <v>100.45645579582344</v>
          </cell>
          <cell r="Q384">
            <v>492.236633399535</v>
          </cell>
          <cell r="R384">
            <v>2354.1159403658967</v>
          </cell>
        </row>
        <row r="390">
          <cell r="O390">
            <v>2760</v>
          </cell>
          <cell r="P390">
            <v>949.8382798008081</v>
          </cell>
          <cell r="Q390">
            <v>1106.8474947685277</v>
          </cell>
          <cell r="R390">
            <v>2352.5620684580645</v>
          </cell>
        </row>
        <row r="396">
          <cell r="O396">
            <v>3600</v>
          </cell>
          <cell r="P396">
            <v>949.8382798008081</v>
          </cell>
          <cell r="Q396">
            <v>1106.8474947685277</v>
          </cell>
          <cell r="R396">
            <v>2352.5620684580645</v>
          </cell>
        </row>
        <row r="402">
          <cell r="O402">
            <v>5865</v>
          </cell>
          <cell r="P402">
            <v>949.8382798008081</v>
          </cell>
          <cell r="Q402">
            <v>1106.8474947685277</v>
          </cell>
          <cell r="R402">
            <v>2352.5620684580645</v>
          </cell>
        </row>
        <row r="408">
          <cell r="S408">
            <v>66130</v>
          </cell>
          <cell r="T408">
            <v>56025.855808197106</v>
          </cell>
          <cell r="U408">
            <v>6215.487631329101</v>
          </cell>
          <cell r="V408">
            <v>38851.4820900509</v>
          </cell>
          <cell r="W408">
            <v>10000</v>
          </cell>
        </row>
        <row r="414">
          <cell r="S414">
            <v>105710</v>
          </cell>
          <cell r="T414">
            <v>73200.22952634332</v>
          </cell>
          <cell r="U414">
            <v>12430.975262658201</v>
          </cell>
          <cell r="V414">
            <v>38851.4820900509</v>
          </cell>
          <cell r="W414">
            <v>19425.74104502545</v>
          </cell>
        </row>
        <row r="420">
          <cell r="S420">
            <v>128550</v>
          </cell>
          <cell r="T420">
            <v>73200.22952634332</v>
          </cell>
          <cell r="U420">
            <v>12430.975262658201</v>
          </cell>
          <cell r="V420">
            <v>38851.4820900509</v>
          </cell>
          <cell r="W420">
            <v>19425.74104502545</v>
          </cell>
        </row>
        <row r="426">
          <cell r="S426">
            <v>159410</v>
          </cell>
          <cell r="T426">
            <v>73200.22952634332</v>
          </cell>
          <cell r="U426">
            <v>12430.975262658201</v>
          </cell>
          <cell r="V426">
            <v>38851.4820900509</v>
          </cell>
          <cell r="W426">
            <v>19425.74104502545</v>
          </cell>
        </row>
        <row r="432">
          <cell r="J432">
            <v>115.50000000000001</v>
          </cell>
          <cell r="K432">
            <v>12.420070898392717</v>
          </cell>
          <cell r="L432">
            <v>10.56632897325947</v>
          </cell>
        </row>
        <row r="438">
          <cell r="J438">
            <v>825.0000000000001</v>
          </cell>
          <cell r="K438">
            <v>13.719053291519172</v>
          </cell>
          <cell r="L438">
            <v>18.95723727555376</v>
          </cell>
        </row>
        <row r="444">
          <cell r="O444">
            <v>611.05</v>
          </cell>
          <cell r="P444">
            <v>98.51547895656624</v>
          </cell>
        </row>
        <row r="450">
          <cell r="Q450">
            <v>41.86216666666667</v>
          </cell>
          <cell r="R450">
            <v>1.154499566608717</v>
          </cell>
          <cell r="S450">
            <v>0</v>
          </cell>
          <cell r="T450">
            <v>0</v>
          </cell>
        </row>
        <row r="451">
          <cell r="R451">
            <v>1.4543695839096826</v>
          </cell>
          <cell r="S451">
            <v>0</v>
          </cell>
          <cell r="T451">
            <v>0</v>
          </cell>
        </row>
        <row r="452">
          <cell r="R452">
            <v>0</v>
          </cell>
          <cell r="S452">
            <v>0</v>
          </cell>
          <cell r="T452">
            <v>87.01682683860741</v>
          </cell>
        </row>
        <row r="453">
          <cell r="R453">
            <v>0</v>
          </cell>
          <cell r="S453">
            <v>153.4244052154395</v>
          </cell>
          <cell r="T453">
            <v>261.05048051582224</v>
          </cell>
        </row>
        <row r="459">
          <cell r="O459">
            <v>663.55</v>
          </cell>
          <cell r="P459">
            <v>98.51547895656624</v>
          </cell>
        </row>
      </sheetData>
      <sheetData sheetId="12">
        <row r="9">
          <cell r="O9">
            <v>120</v>
          </cell>
          <cell r="P9">
            <v>481.07</v>
          </cell>
        </row>
        <row r="18">
          <cell r="O18">
            <v>120</v>
          </cell>
          <cell r="P18">
            <v>388.4679769580688</v>
          </cell>
        </row>
      </sheetData>
      <sheetData sheetId="13">
        <row r="5">
          <cell r="H5">
            <v>14.993500865048276</v>
          </cell>
        </row>
        <row r="11">
          <cell r="H11">
            <v>37.48375216262069</v>
          </cell>
        </row>
        <row r="17">
          <cell r="H17">
            <v>44.98050259514482</v>
          </cell>
        </row>
        <row r="29">
          <cell r="H29">
            <v>7.496750432524138</v>
          </cell>
        </row>
        <row r="35">
          <cell r="H35">
            <v>9.370938040655172</v>
          </cell>
        </row>
        <row r="41">
          <cell r="H41">
            <v>262.3862651383448</v>
          </cell>
        </row>
        <row r="47">
          <cell r="H47">
            <v>503.78162906562204</v>
          </cell>
        </row>
        <row r="53">
          <cell r="H53">
            <v>1180.7381931225516</v>
          </cell>
        </row>
        <row r="59">
          <cell r="H59">
            <v>2177.806000648262</v>
          </cell>
        </row>
        <row r="65">
          <cell r="H65">
            <v>1049.5450605533792</v>
          </cell>
        </row>
        <row r="71">
          <cell r="H71">
            <v>1649.2850951553103</v>
          </cell>
        </row>
        <row r="77">
          <cell r="H77">
            <v>4498.050259514483</v>
          </cell>
        </row>
        <row r="83">
          <cell r="H83">
            <v>11245.125648786207</v>
          </cell>
        </row>
        <row r="89">
          <cell r="H89">
            <v>1049.5450605533792</v>
          </cell>
        </row>
        <row r="95">
          <cell r="H95">
            <v>1649.2850951553103</v>
          </cell>
        </row>
      </sheetData>
      <sheetData sheetId="14">
        <row r="5">
          <cell r="M5">
            <v>8900</v>
          </cell>
          <cell r="N5">
            <v>749.6750432524137</v>
          </cell>
          <cell r="O5">
            <v>0</v>
          </cell>
        </row>
        <row r="6">
          <cell r="N6">
            <v>187.41876081310343</v>
          </cell>
          <cell r="O6">
            <v>0</v>
          </cell>
        </row>
        <row r="7">
          <cell r="N7">
            <v>344.8505198961103</v>
          </cell>
          <cell r="O7">
            <v>0</v>
          </cell>
        </row>
        <row r="8">
          <cell r="N8">
            <v>0</v>
          </cell>
          <cell r="O8">
            <v>1553.8719078322752</v>
          </cell>
        </row>
        <row r="9">
          <cell r="O9">
            <v>311.73974309266634</v>
          </cell>
        </row>
        <row r="10">
          <cell r="O10">
            <v>3250.7062044696945</v>
          </cell>
        </row>
        <row r="16">
          <cell r="M16">
            <v>7140</v>
          </cell>
          <cell r="N16">
            <v>749.6750432524137</v>
          </cell>
          <cell r="O16">
            <v>0</v>
          </cell>
        </row>
        <row r="17">
          <cell r="N17">
            <v>187.41876081310343</v>
          </cell>
          <cell r="O17">
            <v>0</v>
          </cell>
        </row>
        <row r="18">
          <cell r="N18">
            <v>344.8505198961103</v>
          </cell>
          <cell r="O18">
            <v>0</v>
          </cell>
        </row>
        <row r="19">
          <cell r="N19">
            <v>0</v>
          </cell>
          <cell r="O19">
            <v>1553.8719078322752</v>
          </cell>
        </row>
        <row r="20">
          <cell r="O20">
            <v>311.73974309266634</v>
          </cell>
        </row>
        <row r="21">
          <cell r="O21">
            <v>3250.7062044696945</v>
          </cell>
        </row>
        <row r="27">
          <cell r="O27">
            <v>7252.501132365561</v>
          </cell>
          <cell r="P27">
            <v>904.1081021624109</v>
          </cell>
          <cell r="Q27">
            <v>0</v>
          </cell>
          <cell r="R27">
            <v>725.6581809576726</v>
          </cell>
        </row>
        <row r="28">
          <cell r="P28">
            <v>2473.927642732965</v>
          </cell>
          <cell r="Q28">
            <v>0</v>
          </cell>
          <cell r="R28">
            <v>0</v>
          </cell>
        </row>
        <row r="29">
          <cell r="P29">
            <v>312.61449303625653</v>
          </cell>
          <cell r="Q29">
            <v>0</v>
          </cell>
          <cell r="R29">
            <v>0</v>
          </cell>
        </row>
        <row r="30">
          <cell r="P30">
            <v>0</v>
          </cell>
          <cell r="Q30">
            <v>1278.5367101286622</v>
          </cell>
          <cell r="R30">
            <v>6603.9556082871695</v>
          </cell>
        </row>
        <row r="36">
          <cell r="O36">
            <v>6.008575310967636</v>
          </cell>
          <cell r="P36">
            <v>0</v>
          </cell>
          <cell r="Q36">
            <v>0</v>
          </cell>
          <cell r="R36">
            <v>0</v>
          </cell>
        </row>
        <row r="37">
          <cell r="P37">
            <v>5.247725302766896</v>
          </cell>
          <cell r="Q37">
            <v>0</v>
          </cell>
          <cell r="R37">
            <v>0</v>
          </cell>
        </row>
        <row r="38">
          <cell r="P38">
            <v>0</v>
          </cell>
          <cell r="Q38">
            <v>1936.0698753376887</v>
          </cell>
          <cell r="R38">
            <v>0</v>
          </cell>
        </row>
        <row r="44">
          <cell r="I44">
            <v>165</v>
          </cell>
          <cell r="J44">
            <v>302.11904243072274</v>
          </cell>
        </row>
        <row r="50">
          <cell r="I50">
            <v>4400</v>
          </cell>
          <cell r="J50">
            <v>311.73974309266634</v>
          </cell>
        </row>
        <row r="51">
          <cell r="J51">
            <v>3250.7062044696945</v>
          </cell>
        </row>
      </sheetData>
      <sheetData sheetId="15">
        <row r="5">
          <cell r="H5">
            <v>1147.002816176193</v>
          </cell>
        </row>
        <row r="15">
          <cell r="H15">
            <v>1304.4345752591998</v>
          </cell>
        </row>
        <row r="25">
          <cell r="H25">
            <v>1191.983318771338</v>
          </cell>
        </row>
        <row r="35">
          <cell r="H35">
            <v>1311.931325691724</v>
          </cell>
        </row>
        <row r="45">
          <cell r="H45">
            <v>1566.8208403975445</v>
          </cell>
        </row>
        <row r="55">
          <cell r="H55">
            <v>1319.4280761242483</v>
          </cell>
        </row>
        <row r="65">
          <cell r="H65">
            <v>1746.7428507781242</v>
          </cell>
        </row>
        <row r="75">
          <cell r="H75">
            <v>1469.3630847747309</v>
          </cell>
        </row>
        <row r="85">
          <cell r="H85">
            <v>1364.408578719393</v>
          </cell>
        </row>
        <row r="95">
          <cell r="H95">
            <v>1139.5060657436688</v>
          </cell>
        </row>
        <row r="105">
          <cell r="H105">
            <v>479.7920276815448</v>
          </cell>
        </row>
        <row r="112">
          <cell r="H112">
            <v>554.7595320067861</v>
          </cell>
        </row>
        <row r="119">
          <cell r="H119">
            <v>599.740034601931</v>
          </cell>
        </row>
        <row r="126">
          <cell r="H126">
            <v>434.81152508639997</v>
          </cell>
        </row>
        <row r="133">
          <cell r="H133">
            <v>554.7595320067862</v>
          </cell>
        </row>
        <row r="140">
          <cell r="H140">
            <v>959.5840553630894</v>
          </cell>
        </row>
        <row r="147">
          <cell r="H147">
            <v>1619.2980934252137</v>
          </cell>
        </row>
      </sheetData>
      <sheetData sheetId="16">
        <row r="12">
          <cell r="D12" t="str">
            <v>Багер 
Комацу 
PC 210LC-7</v>
          </cell>
          <cell r="E12" t="str">
            <v>Багер 
Комацу 
PC 210LC-8K</v>
          </cell>
          <cell r="F12" t="str">
            <v>Багер 
Комацу 
PC 210LC (Дуга рука)</v>
          </cell>
          <cell r="G12" t="str">
            <v>
Багер 
Комацу 
HB 215LC -2</v>
          </cell>
          <cell r="H12" t="str">
            <v>Багер 
Комацу 
PW 140-7 (Точкаш)</v>
          </cell>
          <cell r="I12" t="str">
            <v>Багер 
Менци мук (паук) 
A91 4x4</v>
          </cell>
          <cell r="J12" t="str">
            <v>Булдозер 
 Комацу 
 D41E</v>
          </cell>
          <cell r="K12" t="str">
            <v>Булдозер 
Комацу 
 D51EX-22</v>
          </cell>
          <cell r="L12" t="str">
            <v>Утоваривач
 УЛТ</v>
          </cell>
          <cell r="M12" t="str">
            <v>Утоваривач 
 Бобкет С175ХФ</v>
          </cell>
          <cell r="N12" t="str">
            <v>Комбинована машина</v>
          </cell>
        </row>
        <row r="27">
          <cell r="D27">
            <v>9752.118613409084</v>
          </cell>
          <cell r="E27">
            <v>9752.118613409084</v>
          </cell>
          <cell r="F27">
            <v>11123.811426266226</v>
          </cell>
          <cell r="G27">
            <v>10218.494169780513</v>
          </cell>
          <cell r="H27">
            <v>9440.63480755946</v>
          </cell>
          <cell r="I27">
            <v>12211.879365732393</v>
          </cell>
          <cell r="J27">
            <v>7938.817048370655</v>
          </cell>
          <cell r="K27">
            <v>8865.10597098079</v>
          </cell>
          <cell r="L27">
            <v>13723.855109516855</v>
          </cell>
          <cell r="M27">
            <v>4655.1527839153505</v>
          </cell>
          <cell r="N27">
            <v>6615.122661283772</v>
          </cell>
          <cell r="O27">
            <v>12752.1900679755</v>
          </cell>
        </row>
        <row r="40">
          <cell r="D40" t="str">
            <v>Трактор 
Кубота 
(са руком - тарупирање - шибље) М 7171</v>
          </cell>
          <cell r="E40" t="str">
            <v>Трактор 
Солис 
(са ротационом косачицом -кошење) 90</v>
          </cell>
          <cell r="F40" t="str">
            <v>Трактор 
Белорус 
(са руком - тарупирање - шибље) 1221.3</v>
          </cell>
        </row>
        <row r="55">
          <cell r="D55">
            <v>10099.818904763972</v>
          </cell>
          <cell r="E55">
            <v>4746.7188089654765</v>
          </cell>
          <cell r="F55">
            <v>7563.890816179762</v>
          </cell>
        </row>
        <row r="58">
          <cell r="D58">
            <v>25.249547261909928</v>
          </cell>
          <cell r="E58">
            <v>2.5657939507921492</v>
          </cell>
          <cell r="G58">
            <v>32.9333386129175</v>
          </cell>
          <cell r="H58">
            <v>453.3258325240326</v>
          </cell>
        </row>
        <row r="68">
          <cell r="D68" t="str">
            <v>Виброплоча 
BPR 40/60 D/E</v>
          </cell>
          <cell r="E68" t="str">
            <v>Виброплоча 
BPR 70/75</v>
          </cell>
        </row>
        <row r="83">
          <cell r="D83">
            <v>1576.6291556947986</v>
          </cell>
          <cell r="E83">
            <v>1923.6923495587084</v>
          </cell>
        </row>
        <row r="96">
          <cell r="D96" t="str">
            <v>Виброваљак 
BW 124 DH</v>
          </cell>
          <cell r="E96" t="str">
            <v>Виброваљак 
BW BW 212</v>
          </cell>
        </row>
        <row r="111">
          <cell r="D111">
            <v>3817.0160334345883</v>
          </cell>
          <cell r="E111">
            <v>7430.915513401475</v>
          </cell>
        </row>
        <row r="139">
          <cell r="F139">
            <v>4651.397432308993</v>
          </cell>
          <cell r="H139">
            <v>4856.4352612563625</v>
          </cell>
        </row>
        <row r="166">
          <cell r="D166">
            <v>9352.19229277999</v>
          </cell>
          <cell r="F166">
            <v>9352.19229277999</v>
          </cell>
          <cell r="J166">
            <v>12625.459595252987</v>
          </cell>
        </row>
        <row r="169">
          <cell r="F169">
            <v>1039.1324769755545</v>
          </cell>
        </row>
        <row r="180">
          <cell r="D180" t="str">
            <v>Хонда WB20</v>
          </cell>
          <cell r="E180" t="str">
            <v>Муљна пумпа WТ40</v>
          </cell>
        </row>
        <row r="199">
          <cell r="D199">
            <v>2085.1361840372133</v>
          </cell>
          <cell r="E199">
            <v>2043.5730617972617</v>
          </cell>
        </row>
        <row r="210">
          <cell r="D210" t="str">
            <v>Хонда H3200M</v>
          </cell>
          <cell r="E210" t="str">
            <v>Хонда H5500M</v>
          </cell>
        </row>
        <row r="229">
          <cell r="D229">
            <v>4905.183849221459</v>
          </cell>
          <cell r="E229">
            <v>5216.321426706839</v>
          </cell>
        </row>
        <row r="239">
          <cell r="D239" t="str">
            <v>Вибројеж 
BW 124 DH-5</v>
          </cell>
          <cell r="E239" t="str">
            <v>Вибројеж 
BW BW 212 D-5</v>
          </cell>
        </row>
        <row r="254">
          <cell r="D254">
            <v>3587.668995124874</v>
          </cell>
          <cell r="E254">
            <v>7026.08324123357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I96"/>
  <sheetViews>
    <sheetView tabSelected="1" view="pageBreakPreview" zoomScale="60" zoomScaleNormal="70" zoomScalePageLayoutView="0" workbookViewId="0" topLeftCell="A61">
      <selection activeCell="A88" sqref="A88"/>
    </sheetView>
  </sheetViews>
  <sheetFormatPr defaultColWidth="9.140625" defaultRowHeight="15"/>
  <cols>
    <col min="1" max="1" width="18.421875" style="0" customWidth="1"/>
    <col min="2" max="2" width="103.00390625" style="0" customWidth="1"/>
    <col min="3" max="3" width="22.28125" style="0" customWidth="1"/>
    <col min="4" max="5" width="23.7109375" style="0" customWidth="1"/>
    <col min="6" max="6" width="25.7109375" style="350" customWidth="1"/>
    <col min="7" max="7" width="23.7109375" style="0" customWidth="1"/>
    <col min="8" max="8" width="23.57421875" style="0" customWidth="1"/>
  </cols>
  <sheetData>
    <row r="1" spans="1:8" ht="15.75">
      <c r="A1" s="1"/>
      <c r="B1" s="1"/>
      <c r="C1" s="1"/>
      <c r="D1" s="2"/>
      <c r="E1" s="3"/>
      <c r="F1" s="2"/>
      <c r="G1" s="2"/>
      <c r="H1" s="4" t="s">
        <v>0</v>
      </c>
    </row>
    <row r="2" spans="1:8" ht="15.75">
      <c r="A2" s="5" t="s">
        <v>1</v>
      </c>
      <c r="D2" s="6"/>
      <c r="E2" s="7"/>
      <c r="F2" s="6"/>
      <c r="G2" s="6"/>
      <c r="H2" s="6"/>
    </row>
    <row r="3" spans="1:8" ht="15.75">
      <c r="A3" s="5" t="s">
        <v>2</v>
      </c>
      <c r="D3" s="6"/>
      <c r="E3" s="7"/>
      <c r="F3" s="6"/>
      <c r="G3" s="6"/>
      <c r="H3" s="6"/>
    </row>
    <row r="4" spans="1:8" ht="15.75">
      <c r="A4" s="5"/>
      <c r="D4" s="6"/>
      <c r="E4" s="7"/>
      <c r="F4" s="6"/>
      <c r="G4" s="6"/>
      <c r="H4" s="6"/>
    </row>
    <row r="5" spans="1:8" ht="27">
      <c r="A5" s="804" t="s">
        <v>1054</v>
      </c>
      <c r="B5" s="804"/>
      <c r="C5" s="804"/>
      <c r="D5" s="804"/>
      <c r="E5" s="804"/>
      <c r="F5" s="804"/>
      <c r="G5" s="804"/>
      <c r="H5" s="804"/>
    </row>
    <row r="6" spans="1:8" ht="15.75">
      <c r="A6" s="1"/>
      <c r="B6" s="1"/>
      <c r="C6" s="1"/>
      <c r="D6" s="2"/>
      <c r="E6" s="8"/>
      <c r="F6" s="9"/>
      <c r="G6" s="2"/>
      <c r="H6" s="2"/>
    </row>
    <row r="7" spans="1:8" ht="15.75">
      <c r="A7" s="1"/>
      <c r="B7" s="1"/>
      <c r="C7" s="1"/>
      <c r="D7" s="2"/>
      <c r="E7" s="3"/>
      <c r="F7" s="2"/>
      <c r="G7" s="2"/>
      <c r="H7" s="2"/>
    </row>
    <row r="8" spans="1:8" ht="23.25" thickBot="1">
      <c r="A8" s="1"/>
      <c r="B8" s="1"/>
      <c r="C8" s="1"/>
      <c r="D8" s="2"/>
      <c r="E8" s="3"/>
      <c r="F8" s="2"/>
      <c r="G8" s="2"/>
      <c r="H8" s="10" t="s">
        <v>3</v>
      </c>
    </row>
    <row r="9" spans="1:8" ht="16.5" thickBot="1">
      <c r="A9" s="805" t="s">
        <v>4</v>
      </c>
      <c r="B9" s="806" t="s">
        <v>5</v>
      </c>
      <c r="C9" s="806" t="s">
        <v>6</v>
      </c>
      <c r="D9" s="807" t="s">
        <v>1031</v>
      </c>
      <c r="E9" s="808" t="s">
        <v>1032</v>
      </c>
      <c r="F9" s="809" t="s">
        <v>1055</v>
      </c>
      <c r="G9" s="809"/>
      <c r="H9" s="810" t="s">
        <v>1056</v>
      </c>
    </row>
    <row r="10" spans="1:8" ht="62.25" customHeight="1" thickBot="1">
      <c r="A10" s="805"/>
      <c r="B10" s="806"/>
      <c r="C10" s="806"/>
      <c r="D10" s="807"/>
      <c r="E10" s="808"/>
      <c r="F10" s="11" t="s">
        <v>1030</v>
      </c>
      <c r="G10" s="12" t="s">
        <v>7</v>
      </c>
      <c r="H10" s="810"/>
    </row>
    <row r="11" spans="1:8" ht="15.75">
      <c r="A11" s="13">
        <v>1</v>
      </c>
      <c r="B11" s="14">
        <v>2</v>
      </c>
      <c r="C11" s="14">
        <v>3</v>
      </c>
      <c r="D11" s="14">
        <v>4</v>
      </c>
      <c r="E11" s="15">
        <v>5</v>
      </c>
      <c r="F11" s="14">
        <v>6</v>
      </c>
      <c r="G11" s="14">
        <v>7</v>
      </c>
      <c r="H11" s="16">
        <v>8</v>
      </c>
    </row>
    <row r="12" spans="1:8" ht="18.75">
      <c r="A12" s="17"/>
      <c r="B12" s="18" t="s">
        <v>8</v>
      </c>
      <c r="C12" s="19"/>
      <c r="D12" s="20"/>
      <c r="E12" s="20"/>
      <c r="F12" s="20"/>
      <c r="G12" s="20"/>
      <c r="H12" s="21"/>
    </row>
    <row r="13" spans="1:8" ht="32.25">
      <c r="A13" s="22" t="s">
        <v>9</v>
      </c>
      <c r="B13" s="23" t="s">
        <v>10</v>
      </c>
      <c r="C13" s="24">
        <v>1001</v>
      </c>
      <c r="D13" s="31">
        <f>D14+D21+D28+D29</f>
        <v>575483</v>
      </c>
      <c r="E13" s="31">
        <f>E14+E21+E28+E29</f>
        <v>556500</v>
      </c>
      <c r="F13" s="31">
        <f>F14+F21+F28+F29</f>
        <v>208688</v>
      </c>
      <c r="G13" s="31">
        <f>G14+G21+G28+G29</f>
        <v>134768</v>
      </c>
      <c r="H13" s="352">
        <f>G13/F13</f>
        <v>0.645787012190447</v>
      </c>
    </row>
    <row r="14" spans="1:8" ht="18.75">
      <c r="A14" s="17">
        <v>60</v>
      </c>
      <c r="B14" s="18" t="s">
        <v>11</v>
      </c>
      <c r="C14" s="19">
        <v>1002</v>
      </c>
      <c r="D14" s="25">
        <v>89</v>
      </c>
      <c r="E14" s="20"/>
      <c r="F14" s="343"/>
      <c r="G14" s="25"/>
      <c r="H14" s="352"/>
    </row>
    <row r="15" spans="1:8" ht="37.5">
      <c r="A15" s="26">
        <v>600</v>
      </c>
      <c r="B15" s="27" t="s">
        <v>12</v>
      </c>
      <c r="C15" s="28">
        <v>1003</v>
      </c>
      <c r="D15" s="25"/>
      <c r="E15" s="20"/>
      <c r="F15" s="343"/>
      <c r="G15" s="25"/>
      <c r="H15" s="352"/>
    </row>
    <row r="16" spans="1:8" ht="37.5">
      <c r="A16" s="26">
        <v>601</v>
      </c>
      <c r="B16" s="27" t="s">
        <v>13</v>
      </c>
      <c r="C16" s="28">
        <v>1004</v>
      </c>
      <c r="D16" s="29"/>
      <c r="E16" s="20"/>
      <c r="F16" s="343"/>
      <c r="G16" s="25"/>
      <c r="H16" s="352"/>
    </row>
    <row r="17" spans="1:8" ht="37.5">
      <c r="A17" s="26">
        <v>602</v>
      </c>
      <c r="B17" s="27" t="s">
        <v>14</v>
      </c>
      <c r="C17" s="28">
        <v>1005</v>
      </c>
      <c r="D17" s="29"/>
      <c r="E17" s="20"/>
      <c r="F17" s="343"/>
      <c r="G17" s="25"/>
      <c r="H17" s="352"/>
    </row>
    <row r="18" spans="1:8" ht="37.5">
      <c r="A18" s="26">
        <v>603</v>
      </c>
      <c r="B18" s="27" t="s">
        <v>15</v>
      </c>
      <c r="C18" s="28">
        <v>1006</v>
      </c>
      <c r="D18" s="25"/>
      <c r="E18" s="20"/>
      <c r="F18" s="343"/>
      <c r="G18" s="25"/>
      <c r="H18" s="352"/>
    </row>
    <row r="19" spans="1:8" ht="18.75">
      <c r="A19" s="26">
        <v>604</v>
      </c>
      <c r="B19" s="27" t="s">
        <v>16</v>
      </c>
      <c r="C19" s="28">
        <v>1007</v>
      </c>
      <c r="D19" s="25">
        <v>89</v>
      </c>
      <c r="E19" s="20"/>
      <c r="F19" s="343"/>
      <c r="G19" s="25"/>
      <c r="H19" s="352"/>
    </row>
    <row r="20" spans="1:8" ht="18.75">
      <c r="A20" s="26">
        <v>605</v>
      </c>
      <c r="B20" s="27" t="s">
        <v>17</v>
      </c>
      <c r="C20" s="28">
        <v>1008</v>
      </c>
      <c r="D20" s="25"/>
      <c r="E20" s="20"/>
      <c r="F20" s="343"/>
      <c r="G20" s="25"/>
      <c r="H20" s="352"/>
    </row>
    <row r="21" spans="1:8" ht="37.5">
      <c r="A21" s="17">
        <v>61</v>
      </c>
      <c r="B21" s="18" t="s">
        <v>18</v>
      </c>
      <c r="C21" s="19">
        <v>1009</v>
      </c>
      <c r="D21" s="25">
        <f>D22+D23+D24+D25+D26+D27</f>
        <v>575394</v>
      </c>
      <c r="E21" s="25">
        <f>E22+E23+E24+E25+E26+E27</f>
        <v>556500</v>
      </c>
      <c r="F21" s="25">
        <f>F22+F23+F24+F25+F26+F27</f>
        <v>208688</v>
      </c>
      <c r="G21" s="25">
        <f>G22+G23+G24+G25+G26+G27</f>
        <v>134768</v>
      </c>
      <c r="H21" s="352">
        <f>G21/F21</f>
        <v>0.645787012190447</v>
      </c>
    </row>
    <row r="22" spans="1:8" ht="37.5">
      <c r="A22" s="26">
        <v>610</v>
      </c>
      <c r="B22" s="27" t="s">
        <v>19</v>
      </c>
      <c r="C22" s="28">
        <v>1010</v>
      </c>
      <c r="D22" s="25"/>
      <c r="E22" s="20"/>
      <c r="F22" s="343"/>
      <c r="G22" s="25"/>
      <c r="H22" s="352"/>
    </row>
    <row r="23" spans="1:8" ht="37.5">
      <c r="A23" s="26">
        <v>611</v>
      </c>
      <c r="B23" s="27" t="s">
        <v>20</v>
      </c>
      <c r="C23" s="28">
        <v>1011</v>
      </c>
      <c r="D23" s="25"/>
      <c r="E23" s="20"/>
      <c r="F23" s="343"/>
      <c r="G23" s="25"/>
      <c r="H23" s="352"/>
    </row>
    <row r="24" spans="1:8" ht="37.5">
      <c r="A24" s="26">
        <v>612</v>
      </c>
      <c r="B24" s="27" t="s">
        <v>21</v>
      </c>
      <c r="C24" s="28">
        <v>1012</v>
      </c>
      <c r="D24" s="25"/>
      <c r="E24" s="20"/>
      <c r="F24" s="343"/>
      <c r="G24" s="25"/>
      <c r="H24" s="352"/>
    </row>
    <row r="25" spans="1:8" ht="37.5">
      <c r="A25" s="26">
        <v>613</v>
      </c>
      <c r="B25" s="27" t="s">
        <v>22</v>
      </c>
      <c r="C25" s="28">
        <v>1013</v>
      </c>
      <c r="D25" s="25"/>
      <c r="E25" s="20"/>
      <c r="F25" s="343"/>
      <c r="G25" s="25"/>
      <c r="H25" s="352"/>
    </row>
    <row r="26" spans="1:8" ht="18.75">
      <c r="A26" s="26">
        <v>614</v>
      </c>
      <c r="B26" s="27" t="s">
        <v>23</v>
      </c>
      <c r="C26" s="28">
        <v>1014</v>
      </c>
      <c r="D26" s="25">
        <v>575394</v>
      </c>
      <c r="E26" s="20">
        <v>556500</v>
      </c>
      <c r="F26" s="343">
        <v>208688</v>
      </c>
      <c r="G26" s="25">
        <v>134768</v>
      </c>
      <c r="H26" s="352">
        <f>G26/F26</f>
        <v>0.645787012190447</v>
      </c>
    </row>
    <row r="27" spans="1:8" ht="18.75">
      <c r="A27" s="26">
        <v>615</v>
      </c>
      <c r="B27" s="27" t="s">
        <v>24</v>
      </c>
      <c r="C27" s="28">
        <v>1015</v>
      </c>
      <c r="D27" s="25"/>
      <c r="E27" s="20"/>
      <c r="F27" s="343"/>
      <c r="G27" s="25"/>
      <c r="H27" s="352"/>
    </row>
    <row r="28" spans="1:8" s="421" customFormat="1" ht="18" customHeight="1">
      <c r="A28" s="423">
        <v>64</v>
      </c>
      <c r="B28" s="61" t="s">
        <v>25</v>
      </c>
      <c r="C28" s="424">
        <v>1016</v>
      </c>
      <c r="D28" s="25"/>
      <c r="E28" s="20"/>
      <c r="F28" s="343"/>
      <c r="G28" s="25"/>
      <c r="H28" s="352"/>
    </row>
    <row r="29" spans="1:8" ht="18.75">
      <c r="A29" s="26">
        <v>65</v>
      </c>
      <c r="B29" s="18" t="s">
        <v>26</v>
      </c>
      <c r="C29" s="28">
        <v>1017</v>
      </c>
      <c r="D29" s="25"/>
      <c r="E29" s="20"/>
      <c r="F29" s="343"/>
      <c r="G29" s="25"/>
      <c r="H29" s="352"/>
    </row>
    <row r="30" spans="1:8" ht="18.75">
      <c r="A30" s="17"/>
      <c r="B30" s="18" t="s">
        <v>27</v>
      </c>
      <c r="C30" s="30"/>
      <c r="D30" s="25"/>
      <c r="E30" s="20"/>
      <c r="F30" s="343"/>
      <c r="G30" s="25"/>
      <c r="H30" s="352"/>
    </row>
    <row r="31" spans="1:8" ht="37.5">
      <c r="A31" s="22" t="s">
        <v>28</v>
      </c>
      <c r="B31" s="23" t="s">
        <v>29</v>
      </c>
      <c r="C31" s="24">
        <v>1018</v>
      </c>
      <c r="D31" s="31">
        <f>D32-D33-D34+D35+D36+D37+D38+D39+D40+D41+D42</f>
        <v>576749</v>
      </c>
      <c r="E31" s="31">
        <f>E32-E33-E34+E35+E36+E37+E38+E39+E40+E41+E42</f>
        <v>533476</v>
      </c>
      <c r="F31" s="31">
        <f>F32-F33-F34+F35+F36+F37+F38+F39+F40+F41+F42</f>
        <v>232493</v>
      </c>
      <c r="G31" s="31">
        <f>G32-G33-G34+G35+G36+G37+G38+G39+G40+G41+G42</f>
        <v>124176</v>
      </c>
      <c r="H31" s="352">
        <f>G31/F31</f>
        <v>0.5341064032035373</v>
      </c>
    </row>
    <row r="32" spans="1:8" ht="18.75">
      <c r="A32" s="26">
        <v>50</v>
      </c>
      <c r="B32" s="27" t="s">
        <v>30</v>
      </c>
      <c r="C32" s="32">
        <v>1019</v>
      </c>
      <c r="D32" s="25"/>
      <c r="E32" s="20"/>
      <c r="F32" s="343"/>
      <c r="G32" s="25"/>
      <c r="H32" s="352"/>
    </row>
    <row r="33" spans="1:8" ht="18.75">
      <c r="A33" s="26">
        <v>62</v>
      </c>
      <c r="B33" s="27" t="s">
        <v>31</v>
      </c>
      <c r="C33" s="28">
        <v>1020</v>
      </c>
      <c r="D33" s="25"/>
      <c r="E33" s="20"/>
      <c r="F33" s="343"/>
      <c r="G33" s="25"/>
      <c r="H33" s="352"/>
    </row>
    <row r="34" spans="1:8" ht="37.5">
      <c r="A34" s="26">
        <v>630</v>
      </c>
      <c r="B34" s="27" t="s">
        <v>32</v>
      </c>
      <c r="C34" s="32">
        <v>1021</v>
      </c>
      <c r="D34" s="25"/>
      <c r="E34" s="20"/>
      <c r="F34" s="343"/>
      <c r="G34" s="25"/>
      <c r="H34" s="352"/>
    </row>
    <row r="35" spans="1:8" ht="37.5">
      <c r="A35" s="26">
        <v>631</v>
      </c>
      <c r="B35" s="27" t="s">
        <v>33</v>
      </c>
      <c r="C35" s="28">
        <v>1022</v>
      </c>
      <c r="D35" s="25"/>
      <c r="E35" s="20"/>
      <c r="F35" s="343"/>
      <c r="G35" s="25"/>
      <c r="H35" s="352"/>
    </row>
    <row r="36" spans="1:8" ht="18.75">
      <c r="A36" s="26" t="s">
        <v>34</v>
      </c>
      <c r="B36" s="27" t="s">
        <v>35</v>
      </c>
      <c r="C36" s="28">
        <v>1023</v>
      </c>
      <c r="D36" s="25">
        <v>19948</v>
      </c>
      <c r="E36" s="20">
        <v>29640</v>
      </c>
      <c r="F36" s="343">
        <v>8000</v>
      </c>
      <c r="G36" s="25">
        <v>2964</v>
      </c>
      <c r="H36" s="352">
        <f>G36/F36</f>
        <v>0.3705</v>
      </c>
    </row>
    <row r="37" spans="1:8" ht="18.75">
      <c r="A37" s="26">
        <v>513</v>
      </c>
      <c r="B37" s="27" t="s">
        <v>36</v>
      </c>
      <c r="C37" s="28">
        <v>1024</v>
      </c>
      <c r="D37" s="25">
        <v>36270</v>
      </c>
      <c r="E37" s="20">
        <v>58000</v>
      </c>
      <c r="F37" s="343">
        <v>30000</v>
      </c>
      <c r="G37" s="25">
        <v>10003</v>
      </c>
      <c r="H37" s="352">
        <f>G37/F37</f>
        <v>0.33343333333333336</v>
      </c>
    </row>
    <row r="38" spans="1:8" ht="18.75">
      <c r="A38" s="26">
        <v>52</v>
      </c>
      <c r="B38" s="27" t="s">
        <v>37</v>
      </c>
      <c r="C38" s="28">
        <v>1025</v>
      </c>
      <c r="D38" s="25">
        <v>189350</v>
      </c>
      <c r="E38" s="20">
        <v>243986</v>
      </c>
      <c r="F38" s="343">
        <v>122493</v>
      </c>
      <c r="G38" s="489">
        <v>80630</v>
      </c>
      <c r="H38" s="352">
        <f>G38/F38</f>
        <v>0.6582416954438213</v>
      </c>
    </row>
    <row r="39" spans="1:8" ht="18.75">
      <c r="A39" s="26">
        <v>53</v>
      </c>
      <c r="B39" s="27" t="s">
        <v>38</v>
      </c>
      <c r="C39" s="28">
        <v>1026</v>
      </c>
      <c r="D39" s="25">
        <v>289075</v>
      </c>
      <c r="E39" s="20">
        <v>160630</v>
      </c>
      <c r="F39" s="343">
        <v>65000</v>
      </c>
      <c r="G39" s="489">
        <v>25755</v>
      </c>
      <c r="H39" s="352">
        <f>G39/F39</f>
        <v>0.3962307692307692</v>
      </c>
    </row>
    <row r="40" spans="1:8" ht="18.75">
      <c r="A40" s="26">
        <v>540</v>
      </c>
      <c r="B40" s="27" t="s">
        <v>39</v>
      </c>
      <c r="C40" s="28">
        <v>1027</v>
      </c>
      <c r="D40" s="25">
        <v>21632</v>
      </c>
      <c r="E40" s="20">
        <v>25000</v>
      </c>
      <c r="F40" s="343"/>
      <c r="G40" s="25"/>
      <c r="H40" s="352"/>
    </row>
    <row r="41" spans="1:8" ht="18.75">
      <c r="A41" s="26" t="s">
        <v>40</v>
      </c>
      <c r="B41" s="27" t="s">
        <v>41</v>
      </c>
      <c r="C41" s="28">
        <v>1028</v>
      </c>
      <c r="D41" s="25">
        <v>2650</v>
      </c>
      <c r="E41" s="20">
        <v>2000</v>
      </c>
      <c r="F41" s="343"/>
      <c r="G41" s="20"/>
      <c r="H41" s="352"/>
    </row>
    <row r="42" spans="1:9" ht="18.75">
      <c r="A42" s="26">
        <v>55</v>
      </c>
      <c r="B42" s="27" t="s">
        <v>42</v>
      </c>
      <c r="C42" s="28">
        <v>1029</v>
      </c>
      <c r="D42" s="35">
        <v>17824</v>
      </c>
      <c r="E42" s="35">
        <v>14220</v>
      </c>
      <c r="F42" s="343">
        <v>7000</v>
      </c>
      <c r="G42" s="35">
        <v>4824</v>
      </c>
      <c r="H42" s="352">
        <f>G42/F42</f>
        <v>0.6891428571428572</v>
      </c>
      <c r="I42" s="484"/>
    </row>
    <row r="43" spans="1:9" ht="18.75">
      <c r="A43" s="22"/>
      <c r="B43" s="23" t="s">
        <v>43</v>
      </c>
      <c r="C43" s="24">
        <v>1030</v>
      </c>
      <c r="D43" s="353"/>
      <c r="E43" s="353">
        <f>E13-E31</f>
        <v>23024</v>
      </c>
      <c r="F43" s="353"/>
      <c r="G43" s="353">
        <f>G13-G31</f>
        <v>10592</v>
      </c>
      <c r="H43" s="352"/>
      <c r="I43" s="414"/>
    </row>
    <row r="44" spans="1:8" ht="18.75">
      <c r="A44" s="22"/>
      <c r="B44" s="23" t="s">
        <v>44</v>
      </c>
      <c r="C44" s="24">
        <v>1031</v>
      </c>
      <c r="D44" s="355">
        <f>D31-D13</f>
        <v>1266</v>
      </c>
      <c r="E44" s="355"/>
      <c r="F44" s="355">
        <f>F31-F13</f>
        <v>23805</v>
      </c>
      <c r="G44" s="355"/>
      <c r="H44" s="352">
        <f>G44/F44</f>
        <v>0</v>
      </c>
    </row>
    <row r="45" spans="1:8" ht="18.75">
      <c r="A45" s="22">
        <v>66</v>
      </c>
      <c r="B45" s="23" t="s">
        <v>45</v>
      </c>
      <c r="C45" s="24">
        <v>1032</v>
      </c>
      <c r="D45" s="353">
        <f>D46+D51+D52</f>
        <v>0</v>
      </c>
      <c r="E45" s="353">
        <f>E46+E51+E52</f>
        <v>0</v>
      </c>
      <c r="F45" s="353">
        <f>F46+F51+F52</f>
        <v>0</v>
      </c>
      <c r="G45" s="353">
        <f>G46+G51+G52</f>
        <v>0</v>
      </c>
      <c r="H45" s="352"/>
    </row>
    <row r="46" spans="1:8" ht="37.5">
      <c r="A46" s="17" t="s">
        <v>46</v>
      </c>
      <c r="B46" s="18" t="s">
        <v>47</v>
      </c>
      <c r="C46" s="34">
        <v>1033</v>
      </c>
      <c r="D46" s="35"/>
      <c r="E46" s="35"/>
      <c r="F46" s="343"/>
      <c r="G46" s="35"/>
      <c r="H46" s="352"/>
    </row>
    <row r="47" spans="1:8" ht="18.75">
      <c r="A47" s="26">
        <v>660</v>
      </c>
      <c r="B47" s="27" t="s">
        <v>48</v>
      </c>
      <c r="C47" s="32">
        <v>1034</v>
      </c>
      <c r="D47" s="35"/>
      <c r="E47" s="35"/>
      <c r="F47" s="343"/>
      <c r="G47" s="35"/>
      <c r="H47" s="352"/>
    </row>
    <row r="48" spans="1:8" ht="18.75">
      <c r="A48" s="26">
        <v>661</v>
      </c>
      <c r="B48" s="27" t="s">
        <v>49</v>
      </c>
      <c r="C48" s="32">
        <v>1035</v>
      </c>
      <c r="D48" s="35"/>
      <c r="E48" s="35"/>
      <c r="F48" s="343"/>
      <c r="G48" s="35"/>
      <c r="H48" s="352"/>
    </row>
    <row r="49" spans="1:8" ht="37.5">
      <c r="A49" s="26">
        <v>665</v>
      </c>
      <c r="B49" s="27" t="s">
        <v>50</v>
      </c>
      <c r="C49" s="28">
        <v>1036</v>
      </c>
      <c r="D49" s="35"/>
      <c r="E49" s="35"/>
      <c r="F49" s="343"/>
      <c r="G49" s="35"/>
      <c r="H49" s="352"/>
    </row>
    <row r="50" spans="1:8" ht="18.75">
      <c r="A50" s="26">
        <v>669</v>
      </c>
      <c r="B50" s="27" t="s">
        <v>51</v>
      </c>
      <c r="C50" s="28">
        <v>1037</v>
      </c>
      <c r="D50" s="35"/>
      <c r="E50" s="35"/>
      <c r="F50" s="343"/>
      <c r="G50" s="35"/>
      <c r="H50" s="352"/>
    </row>
    <row r="51" spans="1:8" ht="18.75">
      <c r="A51" s="17">
        <v>662</v>
      </c>
      <c r="B51" s="18" t="s">
        <v>52</v>
      </c>
      <c r="C51" s="19">
        <v>1038</v>
      </c>
      <c r="D51" s="35"/>
      <c r="E51" s="35"/>
      <c r="F51" s="343"/>
      <c r="G51" s="35"/>
      <c r="H51" s="352"/>
    </row>
    <row r="52" spans="1:8" ht="37.5">
      <c r="A52" s="17" t="s">
        <v>53</v>
      </c>
      <c r="B52" s="18" t="s">
        <v>54</v>
      </c>
      <c r="C52" s="19">
        <v>1039</v>
      </c>
      <c r="D52" s="35"/>
      <c r="E52" s="20"/>
      <c r="F52" s="343"/>
      <c r="G52" s="20"/>
      <c r="H52" s="352"/>
    </row>
    <row r="53" spans="1:8" ht="18.75">
      <c r="A53" s="22">
        <v>56</v>
      </c>
      <c r="B53" s="23" t="s">
        <v>55</v>
      </c>
      <c r="C53" s="24">
        <v>1040</v>
      </c>
      <c r="D53" s="353">
        <f>D54+D59+D60</f>
        <v>2341</v>
      </c>
      <c r="E53" s="353">
        <f>E54+E59+E60</f>
        <v>3400</v>
      </c>
      <c r="F53" s="353">
        <f>F54+F59+F60</f>
        <v>1700</v>
      </c>
      <c r="G53" s="353">
        <f>G54+G59+G60</f>
        <v>409</v>
      </c>
      <c r="H53" s="352">
        <f>G53/F53</f>
        <v>0.24058823529411766</v>
      </c>
    </row>
    <row r="54" spans="1:8" ht="37.5">
      <c r="A54" s="17" t="s">
        <v>56</v>
      </c>
      <c r="B54" s="18" t="s">
        <v>57</v>
      </c>
      <c r="C54" s="19">
        <v>1041</v>
      </c>
      <c r="D54" s="35">
        <f>D55+D56+D57+D58</f>
        <v>269</v>
      </c>
      <c r="E54" s="35">
        <f>E55+E56+E57+E58</f>
        <v>400</v>
      </c>
      <c r="F54" s="35">
        <f>F55+F56+F57+F58</f>
        <v>200</v>
      </c>
      <c r="G54" s="35">
        <f>G55+G56+G57+G58</f>
        <v>55</v>
      </c>
      <c r="H54" s="352">
        <f>G54/F54</f>
        <v>0.275</v>
      </c>
    </row>
    <row r="55" spans="1:8" ht="18.75">
      <c r="A55" s="26">
        <v>560</v>
      </c>
      <c r="B55" s="27" t="s">
        <v>58</v>
      </c>
      <c r="C55" s="32">
        <v>1042</v>
      </c>
      <c r="D55" s="35"/>
      <c r="E55" s="35"/>
      <c r="F55" s="343"/>
      <c r="G55" s="35"/>
      <c r="H55" s="352"/>
    </row>
    <row r="56" spans="1:8" ht="18.75">
      <c r="A56" s="26">
        <v>561</v>
      </c>
      <c r="B56" s="27" t="s">
        <v>59</v>
      </c>
      <c r="C56" s="32">
        <v>1043</v>
      </c>
      <c r="D56" s="35"/>
      <c r="E56" s="35"/>
      <c r="F56" s="343"/>
      <c r="G56" s="35"/>
      <c r="H56" s="352"/>
    </row>
    <row r="57" spans="1:8" ht="18.75">
      <c r="A57" s="26">
        <v>565</v>
      </c>
      <c r="B57" s="27" t="s">
        <v>60</v>
      </c>
      <c r="C57" s="32">
        <v>1044</v>
      </c>
      <c r="D57" s="35"/>
      <c r="E57" s="35"/>
      <c r="F57" s="343"/>
      <c r="G57" s="35"/>
      <c r="H57" s="352"/>
    </row>
    <row r="58" spans="1:8" ht="18.75">
      <c r="A58" s="26" t="s">
        <v>61</v>
      </c>
      <c r="B58" s="27" t="s">
        <v>62</v>
      </c>
      <c r="C58" s="28">
        <v>1045</v>
      </c>
      <c r="D58" s="35">
        <v>269</v>
      </c>
      <c r="E58" s="35">
        <v>400</v>
      </c>
      <c r="F58" s="343">
        <v>200</v>
      </c>
      <c r="G58" s="35">
        <v>55</v>
      </c>
      <c r="H58" s="352">
        <f>G58/F58</f>
        <v>0.275</v>
      </c>
    </row>
    <row r="59" spans="1:8" ht="18.75">
      <c r="A59" s="26">
        <v>562</v>
      </c>
      <c r="B59" s="18" t="s">
        <v>63</v>
      </c>
      <c r="C59" s="19">
        <v>1046</v>
      </c>
      <c r="D59" s="35">
        <v>2072</v>
      </c>
      <c r="E59" s="35">
        <v>3000</v>
      </c>
      <c r="F59" s="343">
        <v>1500</v>
      </c>
      <c r="G59" s="35">
        <v>354</v>
      </c>
      <c r="H59" s="352">
        <f>G59/F59</f>
        <v>0.236</v>
      </c>
    </row>
    <row r="60" spans="1:8" ht="37.5">
      <c r="A60" s="17" t="s">
        <v>64</v>
      </c>
      <c r="B60" s="18" t="s">
        <v>65</v>
      </c>
      <c r="C60" s="19">
        <v>1047</v>
      </c>
      <c r="D60" s="35"/>
      <c r="E60" s="35"/>
      <c r="F60" s="343"/>
      <c r="G60" s="35"/>
      <c r="H60" s="352"/>
    </row>
    <row r="61" spans="1:8" ht="18.75">
      <c r="A61" s="22"/>
      <c r="B61" s="23" t="s">
        <v>66</v>
      </c>
      <c r="C61" s="24">
        <v>1048</v>
      </c>
      <c r="D61" s="353"/>
      <c r="E61" s="353"/>
      <c r="F61" s="342"/>
      <c r="G61" s="353"/>
      <c r="H61" s="352"/>
    </row>
    <row r="62" spans="1:8" ht="18.75">
      <c r="A62" s="22"/>
      <c r="B62" s="23" t="s">
        <v>67</v>
      </c>
      <c r="C62" s="24">
        <v>1049</v>
      </c>
      <c r="D62" s="353">
        <f>D53-D45</f>
        <v>2341</v>
      </c>
      <c r="E62" s="353">
        <f>E53-E45</f>
        <v>3400</v>
      </c>
      <c r="F62" s="353">
        <f>F53-F45</f>
        <v>1700</v>
      </c>
      <c r="G62" s="353">
        <f>G53-G45</f>
        <v>409</v>
      </c>
      <c r="H62" s="352">
        <f>G62/F62</f>
        <v>0.24058823529411766</v>
      </c>
    </row>
    <row r="63" spans="1:8" ht="37.5">
      <c r="A63" s="26" t="s">
        <v>68</v>
      </c>
      <c r="B63" s="27" t="s">
        <v>69</v>
      </c>
      <c r="C63" s="28">
        <v>1050</v>
      </c>
      <c r="D63" s="35">
        <v>10836</v>
      </c>
      <c r="E63" s="35"/>
      <c r="F63" s="343"/>
      <c r="G63" s="35"/>
      <c r="H63" s="352"/>
    </row>
    <row r="64" spans="1:8" ht="37.5">
      <c r="A64" s="26" t="s">
        <v>70</v>
      </c>
      <c r="B64" s="27" t="s">
        <v>71</v>
      </c>
      <c r="C64" s="32">
        <v>1051</v>
      </c>
      <c r="D64" s="35">
        <v>14632</v>
      </c>
      <c r="E64" s="35">
        <v>500</v>
      </c>
      <c r="F64" s="343"/>
      <c r="G64" s="35"/>
      <c r="H64" s="352"/>
    </row>
    <row r="65" spans="1:8" ht="32.25">
      <c r="A65" s="22" t="s">
        <v>72</v>
      </c>
      <c r="B65" s="23" t="s">
        <v>73</v>
      </c>
      <c r="C65" s="24">
        <v>1052</v>
      </c>
      <c r="D65" s="353">
        <v>20345</v>
      </c>
      <c r="E65" s="353">
        <v>5000</v>
      </c>
      <c r="F65" s="342"/>
      <c r="G65" s="353">
        <v>3230</v>
      </c>
      <c r="H65" s="352"/>
    </row>
    <row r="66" spans="1:8" ht="32.25">
      <c r="A66" s="22" t="s">
        <v>74</v>
      </c>
      <c r="B66" s="23" t="s">
        <v>75</v>
      </c>
      <c r="C66" s="24">
        <v>1053</v>
      </c>
      <c r="D66" s="353">
        <v>4503</v>
      </c>
      <c r="E66" s="353">
        <v>2000</v>
      </c>
      <c r="F66" s="342"/>
      <c r="G66" s="353">
        <v>402</v>
      </c>
      <c r="H66" s="352"/>
    </row>
    <row r="67" spans="1:8" ht="45" customHeight="1">
      <c r="A67" s="36"/>
      <c r="B67" s="37" t="s">
        <v>76</v>
      </c>
      <c r="C67" s="32">
        <v>1054</v>
      </c>
      <c r="D67" s="351">
        <f>D43-D62++D63-D64+D65-D66-D44</f>
        <v>8439</v>
      </c>
      <c r="E67" s="351">
        <f>E43-E62++E63-E64+E65-E66</f>
        <v>22124</v>
      </c>
      <c r="F67" s="351"/>
      <c r="G67" s="351">
        <f>G43-G62++G63-G64+G65-G66</f>
        <v>13011</v>
      </c>
      <c r="H67" s="352"/>
    </row>
    <row r="68" spans="1:8" ht="37.5">
      <c r="A68" s="36"/>
      <c r="B68" s="37" t="s">
        <v>77</v>
      </c>
      <c r="C68" s="32">
        <v>1055</v>
      </c>
      <c r="D68" s="351"/>
      <c r="E68" s="351"/>
      <c r="F68" s="351">
        <f>F44+F62+F66</f>
        <v>25505</v>
      </c>
      <c r="G68" s="351"/>
      <c r="H68" s="352">
        <f>G68/F68</f>
        <v>0</v>
      </c>
    </row>
    <row r="69" spans="1:8" ht="56.25">
      <c r="A69" s="26" t="s">
        <v>78</v>
      </c>
      <c r="B69" s="27" t="s">
        <v>79</v>
      </c>
      <c r="C69" s="28">
        <v>1056</v>
      </c>
      <c r="D69" s="35">
        <v>667</v>
      </c>
      <c r="E69" s="35"/>
      <c r="F69" s="343"/>
      <c r="G69" s="35"/>
      <c r="H69" s="352"/>
    </row>
    <row r="70" spans="1:8" ht="56.25">
      <c r="A70" s="26" t="s">
        <v>80</v>
      </c>
      <c r="B70" s="27" t="s">
        <v>81</v>
      </c>
      <c r="C70" s="32">
        <v>1057</v>
      </c>
      <c r="D70" s="35"/>
      <c r="E70" s="35"/>
      <c r="F70" s="343"/>
      <c r="G70" s="35"/>
      <c r="H70" s="352"/>
    </row>
    <row r="71" spans="1:8" ht="18.75">
      <c r="A71" s="22"/>
      <c r="B71" s="23" t="s">
        <v>82</v>
      </c>
      <c r="C71" s="24">
        <v>1058</v>
      </c>
      <c r="D71" s="353">
        <f>D67+D69</f>
        <v>9106</v>
      </c>
      <c r="E71" s="342">
        <f>E67+E69</f>
        <v>22124</v>
      </c>
      <c r="F71" s="342">
        <f>F67+F69</f>
        <v>0</v>
      </c>
      <c r="G71" s="342">
        <f>G67+G69</f>
        <v>13011</v>
      </c>
      <c r="H71" s="352"/>
    </row>
    <row r="72" spans="1:8" ht="18.75">
      <c r="A72" s="38"/>
      <c r="B72" s="39" t="s">
        <v>83</v>
      </c>
      <c r="C72" s="24">
        <v>1059</v>
      </c>
      <c r="D72" s="353"/>
      <c r="E72" s="353"/>
      <c r="F72" s="353">
        <f>F68-F67+F70-F69</f>
        <v>25505</v>
      </c>
      <c r="G72" s="353"/>
      <c r="H72" s="352">
        <f>G72/F72</f>
        <v>0</v>
      </c>
    </row>
    <row r="73" spans="1:8" ht="18.75">
      <c r="A73" s="26"/>
      <c r="B73" s="40" t="s">
        <v>84</v>
      </c>
      <c r="C73" s="28"/>
      <c r="D73" s="35"/>
      <c r="E73" s="35"/>
      <c r="F73" s="343"/>
      <c r="G73" s="35"/>
      <c r="H73" s="352"/>
    </row>
    <row r="74" spans="1:8" ht="18.75">
      <c r="A74" s="26">
        <v>721</v>
      </c>
      <c r="B74" s="40" t="s">
        <v>85</v>
      </c>
      <c r="C74" s="28">
        <v>1060</v>
      </c>
      <c r="D74" s="35">
        <v>872</v>
      </c>
      <c r="E74" s="35"/>
      <c r="F74" s="343"/>
      <c r="G74" s="35"/>
      <c r="H74" s="352"/>
    </row>
    <row r="75" spans="1:8" ht="18.75">
      <c r="A75" s="26" t="s">
        <v>86</v>
      </c>
      <c r="B75" s="40" t="s">
        <v>87</v>
      </c>
      <c r="C75" s="32">
        <v>1061</v>
      </c>
      <c r="D75" s="35">
        <v>6375</v>
      </c>
      <c r="E75" s="35"/>
      <c r="F75" s="343"/>
      <c r="G75" s="35"/>
      <c r="H75" s="352"/>
    </row>
    <row r="76" spans="1:8" ht="18.75">
      <c r="A76" s="26" t="s">
        <v>86</v>
      </c>
      <c r="B76" s="40" t="s">
        <v>88</v>
      </c>
      <c r="C76" s="32">
        <v>1062</v>
      </c>
      <c r="D76" s="35"/>
      <c r="E76" s="35"/>
      <c r="F76" s="343"/>
      <c r="G76" s="35"/>
      <c r="H76" s="352"/>
    </row>
    <row r="77" spans="1:8" ht="18.75">
      <c r="A77" s="26">
        <v>723</v>
      </c>
      <c r="B77" s="40" t="s">
        <v>89</v>
      </c>
      <c r="C77" s="28">
        <v>1063</v>
      </c>
      <c r="D77" s="35"/>
      <c r="E77" s="35"/>
      <c r="F77" s="343"/>
      <c r="G77" s="35"/>
      <c r="H77" s="352"/>
    </row>
    <row r="78" spans="1:8" ht="18.75">
      <c r="A78" s="22"/>
      <c r="B78" s="39" t="s">
        <v>90</v>
      </c>
      <c r="C78" s="24">
        <v>1064</v>
      </c>
      <c r="D78" s="353">
        <f>D71-D74-D75</f>
        <v>1859</v>
      </c>
      <c r="E78" s="353">
        <f>E71-E74-E75</f>
        <v>22124</v>
      </c>
      <c r="F78" s="353">
        <f>F71-F74-F75</f>
        <v>0</v>
      </c>
      <c r="G78" s="353">
        <f>G71-G74-G75</f>
        <v>13011</v>
      </c>
      <c r="H78" s="352"/>
    </row>
    <row r="79" spans="1:8" ht="18.75">
      <c r="A79" s="38"/>
      <c r="B79" s="39" t="s">
        <v>91</v>
      </c>
      <c r="C79" s="24">
        <v>1065</v>
      </c>
      <c r="D79" s="353"/>
      <c r="E79" s="353"/>
      <c r="F79" s="353">
        <f>F72-F71+F74+F75-F76+F77</f>
        <v>25505</v>
      </c>
      <c r="G79" s="353"/>
      <c r="H79" s="352">
        <f>G79/F79</f>
        <v>0</v>
      </c>
    </row>
    <row r="80" spans="1:8" ht="18.75">
      <c r="A80" s="41"/>
      <c r="B80" s="40" t="s">
        <v>92</v>
      </c>
      <c r="C80" s="28">
        <v>1066</v>
      </c>
      <c r="D80" s="35"/>
      <c r="E80" s="35"/>
      <c r="F80" s="344"/>
      <c r="G80" s="35"/>
      <c r="H80" s="352"/>
    </row>
    <row r="81" spans="1:8" ht="18.75">
      <c r="A81" s="41"/>
      <c r="B81" s="40" t="s">
        <v>93</v>
      </c>
      <c r="C81" s="28">
        <v>1067</v>
      </c>
      <c r="D81" s="35"/>
      <c r="E81" s="35"/>
      <c r="F81" s="344"/>
      <c r="G81" s="35"/>
      <c r="H81" s="352"/>
    </row>
    <row r="82" spans="1:8" ht="18.75">
      <c r="A82" s="41"/>
      <c r="B82" s="40" t="s">
        <v>94</v>
      </c>
      <c r="C82" s="28">
        <v>1068</v>
      </c>
      <c r="D82" s="35"/>
      <c r="E82" s="35"/>
      <c r="F82" s="345"/>
      <c r="G82" s="35"/>
      <c r="H82" s="352"/>
    </row>
    <row r="83" spans="1:8" ht="18.75">
      <c r="A83" s="41"/>
      <c r="B83" s="40" t="s">
        <v>95</v>
      </c>
      <c r="C83" s="28">
        <v>1069</v>
      </c>
      <c r="D83" s="35"/>
      <c r="E83" s="35"/>
      <c r="F83" s="346"/>
      <c r="G83" s="35"/>
      <c r="H83" s="352"/>
    </row>
    <row r="84" spans="1:8" ht="18.75">
      <c r="A84" s="41"/>
      <c r="B84" s="40" t="s">
        <v>96</v>
      </c>
      <c r="C84" s="32"/>
      <c r="D84" s="35"/>
      <c r="E84" s="35"/>
      <c r="F84" s="347"/>
      <c r="G84" s="35"/>
      <c r="H84" s="352"/>
    </row>
    <row r="85" spans="1:8" ht="18.75">
      <c r="A85" s="41"/>
      <c r="B85" s="40" t="s">
        <v>97</v>
      </c>
      <c r="C85" s="32">
        <v>1070</v>
      </c>
      <c r="D85" s="35"/>
      <c r="E85" s="35"/>
      <c r="F85" s="348"/>
      <c r="G85" s="35"/>
      <c r="H85" s="352"/>
    </row>
    <row r="86" spans="1:8" ht="19.5" thickBot="1">
      <c r="A86" s="42"/>
      <c r="B86" s="43" t="s">
        <v>98</v>
      </c>
      <c r="C86" s="44">
        <v>1071</v>
      </c>
      <c r="D86" s="356"/>
      <c r="E86" s="356"/>
      <c r="F86" s="349"/>
      <c r="G86" s="356"/>
      <c r="H86" s="352"/>
    </row>
    <row r="87" spans="1:8" ht="15.75">
      <c r="A87" s="1"/>
      <c r="B87" s="1"/>
      <c r="C87" s="45"/>
      <c r="D87" s="46"/>
      <c r="E87" s="3"/>
      <c r="F87" s="2"/>
      <c r="G87" s="2"/>
      <c r="H87" s="2"/>
    </row>
    <row r="88" spans="1:8" ht="18.75">
      <c r="A88" s="1" t="s">
        <v>1453</v>
      </c>
      <c r="B88" s="1"/>
      <c r="C88" s="45"/>
      <c r="D88" s="47"/>
      <c r="E88" s="48"/>
      <c r="F88" s="49" t="s">
        <v>99</v>
      </c>
      <c r="G88" s="50"/>
      <c r="H88" s="49"/>
    </row>
    <row r="89" spans="1:8" ht="18.75">
      <c r="A89" s="1"/>
      <c r="B89" s="1"/>
      <c r="C89" s="51" t="s">
        <v>100</v>
      </c>
      <c r="D89" s="2"/>
      <c r="E89" s="3"/>
      <c r="F89" s="2"/>
      <c r="G89" s="2"/>
      <c r="H89" s="2"/>
    </row>
    <row r="91" spans="6:7" ht="15">
      <c r="F91" s="448"/>
      <c r="G91" s="414"/>
    </row>
    <row r="92" spans="4:7" ht="15">
      <c r="D92" s="414"/>
      <c r="F92" s="448"/>
      <c r="G92" s="414"/>
    </row>
    <row r="93" spans="4:7" ht="15">
      <c r="D93" s="414"/>
      <c r="F93" s="448"/>
      <c r="G93" s="414"/>
    </row>
    <row r="94" spans="4:7" ht="15">
      <c r="D94" s="414"/>
      <c r="G94" s="414"/>
    </row>
    <row r="95" ht="15">
      <c r="D95" s="414"/>
    </row>
    <row r="96" ht="15">
      <c r="D96" s="414"/>
    </row>
  </sheetData>
  <sheetProtection/>
  <mergeCells count="8">
    <mergeCell ref="A5:H5"/>
    <mergeCell ref="A9:A10"/>
    <mergeCell ref="B9:B10"/>
    <mergeCell ref="C9:C10"/>
    <mergeCell ref="D9:D10"/>
    <mergeCell ref="E9:E10"/>
    <mergeCell ref="F9:G9"/>
    <mergeCell ref="H9:H10"/>
  </mergeCells>
  <printOptions/>
  <pageMargins left="0" right="0" top="0" bottom="0" header="0" footer="0"/>
  <pageSetup fitToHeight="0"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U29"/>
  <sheetViews>
    <sheetView tabSelected="1" view="pageBreakPreview" zoomScale="60" zoomScaleNormal="70" zoomScalePageLayoutView="0" workbookViewId="0" topLeftCell="A1">
      <selection activeCell="A88" sqref="A88"/>
    </sheetView>
  </sheetViews>
  <sheetFormatPr defaultColWidth="9.140625" defaultRowHeight="15"/>
  <cols>
    <col min="1" max="1" width="31.7109375" style="0" customWidth="1"/>
    <col min="2" max="2" width="28.28125" style="0" customWidth="1"/>
    <col min="3" max="3" width="12.8515625" style="0" customWidth="1"/>
    <col min="4" max="4" width="16.7109375" style="0" customWidth="1"/>
    <col min="5" max="5" width="19.421875" style="0" customWidth="1"/>
    <col min="6" max="7" width="27.28125" style="0" customWidth="1"/>
    <col min="8" max="9" width="13.7109375" style="0" customWidth="1"/>
    <col min="10" max="10" width="16.57421875" style="0" customWidth="1"/>
    <col min="11" max="11" width="13.7109375" style="0" customWidth="1"/>
    <col min="12" max="12" width="21.28125" style="0" customWidth="1"/>
    <col min="13" max="21" width="13.7109375" style="0" customWidth="1"/>
  </cols>
  <sheetData>
    <row r="1" spans="1:21" ht="18.75">
      <c r="A1" s="52" t="s">
        <v>101</v>
      </c>
      <c r="B1" s="53"/>
      <c r="C1" s="74"/>
      <c r="D1" s="74"/>
      <c r="E1" s="74"/>
      <c r="F1" s="74"/>
      <c r="G1" s="74"/>
      <c r="H1" s="74"/>
      <c r="I1" s="74"/>
      <c r="J1" s="74"/>
      <c r="K1" s="74"/>
      <c r="L1" s="74"/>
      <c r="M1" s="74"/>
      <c r="N1" s="74"/>
      <c r="O1" s="74"/>
      <c r="P1" s="74"/>
      <c r="Q1" s="74"/>
      <c r="R1" s="74"/>
      <c r="S1" s="74"/>
      <c r="T1" s="74"/>
      <c r="U1" s="74"/>
    </row>
    <row r="2" spans="1:21" ht="18.75">
      <c r="A2" s="52" t="s">
        <v>2</v>
      </c>
      <c r="B2" s="53"/>
      <c r="C2" s="74"/>
      <c r="D2" s="74"/>
      <c r="E2" s="74"/>
      <c r="F2" s="74"/>
      <c r="G2" s="74"/>
      <c r="H2" s="74"/>
      <c r="I2" s="74"/>
      <c r="J2" s="74"/>
      <c r="K2" s="74"/>
      <c r="L2" s="74"/>
      <c r="M2" s="74"/>
      <c r="N2" s="74"/>
      <c r="O2" s="74"/>
      <c r="P2" s="74"/>
      <c r="Q2" s="74"/>
      <c r="R2" s="74"/>
      <c r="S2" s="74"/>
      <c r="T2" s="74"/>
      <c r="U2" s="74"/>
    </row>
    <row r="3" spans="1:21" ht="15.75">
      <c r="A3" s="131"/>
      <c r="B3" s="74"/>
      <c r="C3" s="74"/>
      <c r="D3" s="74"/>
      <c r="E3" s="74"/>
      <c r="F3" s="74"/>
      <c r="G3" s="74"/>
      <c r="H3" s="74"/>
      <c r="I3" s="74"/>
      <c r="J3" s="74"/>
      <c r="K3" s="74"/>
      <c r="L3" s="74"/>
      <c r="M3" s="74"/>
      <c r="N3" s="74"/>
      <c r="O3" s="74"/>
      <c r="P3" s="74"/>
      <c r="Q3" s="74"/>
      <c r="R3" s="74"/>
      <c r="S3" s="74"/>
      <c r="T3" s="74"/>
      <c r="U3" s="74"/>
    </row>
    <row r="4" spans="1:21" ht="15.75">
      <c r="A4" s="74"/>
      <c r="B4" s="74"/>
      <c r="C4" s="74"/>
      <c r="D4" s="74"/>
      <c r="E4" s="74"/>
      <c r="F4" s="74"/>
      <c r="G4" s="74"/>
      <c r="H4" s="74"/>
      <c r="I4" s="74"/>
      <c r="J4" s="74"/>
      <c r="K4" s="74"/>
      <c r="L4" s="74"/>
      <c r="M4" s="74"/>
      <c r="N4" s="74"/>
      <c r="O4" s="74"/>
      <c r="P4" s="74"/>
      <c r="Q4" s="74"/>
      <c r="R4" s="74"/>
      <c r="S4" s="74"/>
      <c r="T4" s="74"/>
      <c r="U4" s="74"/>
    </row>
    <row r="5" spans="1:21" ht="20.25">
      <c r="A5" s="856" t="s">
        <v>900</v>
      </c>
      <c r="B5" s="856"/>
      <c r="C5" s="856"/>
      <c r="D5" s="856"/>
      <c r="E5" s="856"/>
      <c r="F5" s="856"/>
      <c r="G5" s="856"/>
      <c r="H5" s="856"/>
      <c r="I5" s="856"/>
      <c r="J5" s="856"/>
      <c r="K5" s="856"/>
      <c r="L5" s="856"/>
      <c r="M5" s="856"/>
      <c r="N5" s="856"/>
      <c r="O5" s="856"/>
      <c r="P5" s="856"/>
      <c r="Q5" s="856"/>
      <c r="R5" s="856"/>
      <c r="S5" s="856"/>
      <c r="T5" s="856"/>
      <c r="U5" s="856"/>
    </row>
    <row r="6" spans="1:21" ht="16.5" thickBot="1">
      <c r="A6" s="74"/>
      <c r="B6" s="74"/>
      <c r="C6" s="191"/>
      <c r="D6" s="191"/>
      <c r="E6" s="191"/>
      <c r="F6" s="191"/>
      <c r="G6" s="191"/>
      <c r="H6" s="191"/>
      <c r="I6" s="191"/>
      <c r="J6" s="191"/>
      <c r="K6" s="191"/>
      <c r="L6" s="191"/>
      <c r="M6" s="191"/>
      <c r="N6" s="74"/>
      <c r="O6" s="74"/>
      <c r="P6" s="74"/>
      <c r="Q6" s="74"/>
      <c r="R6" s="74"/>
      <c r="S6" s="74"/>
      <c r="T6" s="74"/>
      <c r="U6" s="74"/>
    </row>
    <row r="7" spans="1:21" ht="16.5" thickBot="1">
      <c r="A7" s="864" t="s">
        <v>901</v>
      </c>
      <c r="B7" s="865" t="s">
        <v>902</v>
      </c>
      <c r="C7" s="866" t="s">
        <v>903</v>
      </c>
      <c r="D7" s="840" t="s">
        <v>904</v>
      </c>
      <c r="E7" s="840" t="s">
        <v>905</v>
      </c>
      <c r="F7" s="840" t="s">
        <v>1061</v>
      </c>
      <c r="G7" s="840" t="s">
        <v>1062</v>
      </c>
      <c r="H7" s="840" t="s">
        <v>906</v>
      </c>
      <c r="I7" s="840" t="s">
        <v>907</v>
      </c>
      <c r="J7" s="840" t="s">
        <v>908</v>
      </c>
      <c r="K7" s="840" t="s">
        <v>909</v>
      </c>
      <c r="L7" s="840" t="s">
        <v>910</v>
      </c>
      <c r="M7" s="840" t="s">
        <v>911</v>
      </c>
      <c r="N7" s="868" t="s">
        <v>912</v>
      </c>
      <c r="O7" s="868"/>
      <c r="P7" s="868"/>
      <c r="Q7" s="868"/>
      <c r="R7" s="868"/>
      <c r="S7" s="868"/>
      <c r="T7" s="868"/>
      <c r="U7" s="868"/>
    </row>
    <row r="8" spans="1:21" ht="48" thickBot="1">
      <c r="A8" s="864"/>
      <c r="B8" s="865"/>
      <c r="C8" s="866"/>
      <c r="D8" s="840"/>
      <c r="E8" s="840"/>
      <c r="F8" s="840"/>
      <c r="G8" s="840"/>
      <c r="H8" s="840"/>
      <c r="I8" s="840"/>
      <c r="J8" s="840"/>
      <c r="K8" s="840"/>
      <c r="L8" s="840"/>
      <c r="M8" s="840"/>
      <c r="N8" s="192" t="s">
        <v>913</v>
      </c>
      <c r="O8" s="192" t="s">
        <v>914</v>
      </c>
      <c r="P8" s="192" t="s">
        <v>915</v>
      </c>
      <c r="Q8" s="192" t="s">
        <v>916</v>
      </c>
      <c r="R8" s="192" t="s">
        <v>917</v>
      </c>
      <c r="S8" s="192" t="s">
        <v>918</v>
      </c>
      <c r="T8" s="192" t="s">
        <v>919</v>
      </c>
      <c r="U8" s="193" t="s">
        <v>920</v>
      </c>
    </row>
    <row r="9" spans="1:21" ht="15.75">
      <c r="A9" s="194" t="s">
        <v>921</v>
      </c>
      <c r="B9" s="195"/>
      <c r="C9" s="196"/>
      <c r="D9" s="196"/>
      <c r="E9" s="196"/>
      <c r="F9" s="196"/>
      <c r="G9" s="196"/>
      <c r="H9" s="196"/>
      <c r="I9" s="196"/>
      <c r="J9" s="196"/>
      <c r="K9" s="196"/>
      <c r="L9" s="196"/>
      <c r="M9" s="196"/>
      <c r="N9" s="196"/>
      <c r="O9" s="196"/>
      <c r="P9" s="196"/>
      <c r="Q9" s="196"/>
      <c r="R9" s="196"/>
      <c r="S9" s="196"/>
      <c r="T9" s="196"/>
      <c r="U9" s="197"/>
    </row>
    <row r="10" spans="1:21" ht="31.5">
      <c r="A10" s="152" t="s">
        <v>922</v>
      </c>
      <c r="B10" s="137" t="s">
        <v>923</v>
      </c>
      <c r="C10" s="198" t="s">
        <v>924</v>
      </c>
      <c r="D10" s="188">
        <v>50000000</v>
      </c>
      <c r="E10" s="198" t="s">
        <v>925</v>
      </c>
      <c r="F10" s="188">
        <v>30222671</v>
      </c>
      <c r="G10" s="188">
        <v>30222671</v>
      </c>
      <c r="H10" s="198">
        <v>2018</v>
      </c>
      <c r="I10" s="198">
        <v>5</v>
      </c>
      <c r="J10" s="198"/>
      <c r="K10" s="198" t="s">
        <v>1017</v>
      </c>
      <c r="L10" s="198" t="s">
        <v>926</v>
      </c>
      <c r="M10" s="198">
        <v>12</v>
      </c>
      <c r="N10" s="188">
        <v>2328366</v>
      </c>
      <c r="O10" s="188">
        <v>4656732</v>
      </c>
      <c r="P10" s="188">
        <v>6985098</v>
      </c>
      <c r="Q10" s="188">
        <v>9313464</v>
      </c>
      <c r="R10" s="188">
        <v>573341</v>
      </c>
      <c r="S10" s="188">
        <v>1125632</v>
      </c>
      <c r="T10" s="188">
        <v>1644557</v>
      </c>
      <c r="U10" s="199">
        <v>2125424</v>
      </c>
    </row>
    <row r="11" spans="1:21" ht="15.75">
      <c r="A11" s="200" t="s">
        <v>927</v>
      </c>
      <c r="B11" s="189"/>
      <c r="C11" s="189"/>
      <c r="D11" s="189"/>
      <c r="E11" s="189"/>
      <c r="F11" s="439"/>
      <c r="G11" s="439"/>
      <c r="H11" s="189"/>
      <c r="I11" s="189"/>
      <c r="J11" s="189"/>
      <c r="K11" s="189"/>
      <c r="L11" s="189"/>
      <c r="M11" s="189"/>
      <c r="N11" s="189"/>
      <c r="O11" s="189"/>
      <c r="P11" s="189"/>
      <c r="Q11" s="189"/>
      <c r="R11" s="189"/>
      <c r="S11" s="189"/>
      <c r="T11" s="189"/>
      <c r="U11" s="159"/>
    </row>
    <row r="12" spans="1:21" ht="15.75">
      <c r="A12" s="200" t="s">
        <v>927</v>
      </c>
      <c r="B12" s="189"/>
      <c r="C12" s="189"/>
      <c r="D12" s="189"/>
      <c r="E12" s="189"/>
      <c r="F12" s="189"/>
      <c r="G12" s="189"/>
      <c r="H12" s="189"/>
      <c r="I12" s="189"/>
      <c r="J12" s="189"/>
      <c r="K12" s="189"/>
      <c r="L12" s="189"/>
      <c r="M12" s="189"/>
      <c r="N12" s="189"/>
      <c r="O12" s="189"/>
      <c r="P12" s="189"/>
      <c r="Q12" s="189"/>
      <c r="R12" s="189"/>
      <c r="S12" s="189"/>
      <c r="T12" s="189"/>
      <c r="U12" s="159"/>
    </row>
    <row r="13" spans="1:21" ht="15.75">
      <c r="A13" s="200" t="s">
        <v>927</v>
      </c>
      <c r="B13" s="189"/>
      <c r="C13" s="189"/>
      <c r="D13" s="189"/>
      <c r="E13" s="189"/>
      <c r="F13" s="189"/>
      <c r="G13" s="189"/>
      <c r="H13" s="189"/>
      <c r="I13" s="189"/>
      <c r="J13" s="189"/>
      <c r="K13" s="189"/>
      <c r="L13" s="189"/>
      <c r="M13" s="189"/>
      <c r="N13" s="189"/>
      <c r="O13" s="189"/>
      <c r="P13" s="189"/>
      <c r="Q13" s="189"/>
      <c r="R13" s="189"/>
      <c r="S13" s="189"/>
      <c r="T13" s="189"/>
      <c r="U13" s="159"/>
    </row>
    <row r="14" spans="1:21" ht="15.75">
      <c r="A14" s="200" t="s">
        <v>927</v>
      </c>
      <c r="B14" s="189"/>
      <c r="C14" s="189"/>
      <c r="D14" s="189"/>
      <c r="E14" s="189"/>
      <c r="F14" s="189"/>
      <c r="G14" s="189"/>
      <c r="H14" s="189"/>
      <c r="I14" s="189"/>
      <c r="J14" s="189"/>
      <c r="K14" s="189"/>
      <c r="L14" s="189"/>
      <c r="M14" s="189"/>
      <c r="N14" s="189"/>
      <c r="O14" s="189"/>
      <c r="P14" s="189"/>
      <c r="Q14" s="189"/>
      <c r="R14" s="189"/>
      <c r="S14" s="189"/>
      <c r="T14" s="189"/>
      <c r="U14" s="159"/>
    </row>
    <row r="15" spans="1:21" ht="15.75">
      <c r="A15" s="201" t="s">
        <v>928</v>
      </c>
      <c r="B15" s="202"/>
      <c r="C15" s="189"/>
      <c r="D15" s="189"/>
      <c r="E15" s="189"/>
      <c r="F15" s="189"/>
      <c r="G15" s="189"/>
      <c r="H15" s="189"/>
      <c r="I15" s="189"/>
      <c r="J15" s="189"/>
      <c r="K15" s="189"/>
      <c r="L15" s="189"/>
      <c r="M15" s="189"/>
      <c r="N15" s="189"/>
      <c r="O15" s="189"/>
      <c r="P15" s="189"/>
      <c r="Q15" s="189"/>
      <c r="R15" s="189"/>
      <c r="S15" s="189"/>
      <c r="T15" s="189"/>
      <c r="U15" s="159"/>
    </row>
    <row r="16" spans="1:21" ht="15.75">
      <c r="A16" s="200" t="s">
        <v>927</v>
      </c>
      <c r="B16" s="189"/>
      <c r="C16" s="189"/>
      <c r="D16" s="189"/>
      <c r="E16" s="189"/>
      <c r="F16" s="189"/>
      <c r="G16" s="189"/>
      <c r="H16" s="189"/>
      <c r="I16" s="189"/>
      <c r="J16" s="189"/>
      <c r="K16" s="189"/>
      <c r="L16" s="189"/>
      <c r="M16" s="189"/>
      <c r="N16" s="189"/>
      <c r="O16" s="189"/>
      <c r="P16" s="189"/>
      <c r="Q16" s="189"/>
      <c r="R16" s="189"/>
      <c r="S16" s="189"/>
      <c r="T16" s="189"/>
      <c r="U16" s="159"/>
    </row>
    <row r="17" spans="1:21" ht="15.75">
      <c r="A17" s="200" t="s">
        <v>927</v>
      </c>
      <c r="B17" s="189"/>
      <c r="C17" s="189"/>
      <c r="D17" s="189"/>
      <c r="E17" s="189"/>
      <c r="F17" s="189"/>
      <c r="G17" s="189"/>
      <c r="H17" s="189"/>
      <c r="I17" s="189"/>
      <c r="J17" s="189"/>
      <c r="K17" s="189"/>
      <c r="L17" s="189"/>
      <c r="M17" s="189"/>
      <c r="N17" s="189"/>
      <c r="O17" s="189"/>
      <c r="P17" s="189"/>
      <c r="Q17" s="189"/>
      <c r="R17" s="189"/>
      <c r="S17" s="189"/>
      <c r="T17" s="189"/>
      <c r="U17" s="159"/>
    </row>
    <row r="18" spans="1:21" ht="15.75">
      <c r="A18" s="200" t="s">
        <v>927</v>
      </c>
      <c r="B18" s="189"/>
      <c r="C18" s="189"/>
      <c r="D18" s="189"/>
      <c r="E18" s="189"/>
      <c r="F18" s="189"/>
      <c r="G18" s="189"/>
      <c r="H18" s="189"/>
      <c r="I18" s="189"/>
      <c r="J18" s="189"/>
      <c r="K18" s="189"/>
      <c r="L18" s="189"/>
      <c r="M18" s="189"/>
      <c r="N18" s="189"/>
      <c r="O18" s="189"/>
      <c r="P18" s="189"/>
      <c r="Q18" s="189"/>
      <c r="R18" s="189"/>
      <c r="S18" s="189"/>
      <c r="T18" s="189"/>
      <c r="U18" s="159"/>
    </row>
    <row r="19" spans="1:21" ht="15.75">
      <c r="A19" s="200" t="s">
        <v>927</v>
      </c>
      <c r="B19" s="189"/>
      <c r="C19" s="189"/>
      <c r="D19" s="189"/>
      <c r="E19" s="189"/>
      <c r="F19" s="189"/>
      <c r="G19" s="189"/>
      <c r="H19" s="189"/>
      <c r="I19" s="189"/>
      <c r="J19" s="189"/>
      <c r="K19" s="189"/>
      <c r="L19" s="189"/>
      <c r="M19" s="189"/>
      <c r="N19" s="189"/>
      <c r="O19" s="189"/>
      <c r="P19" s="189"/>
      <c r="Q19" s="189"/>
      <c r="R19" s="189"/>
      <c r="S19" s="189"/>
      <c r="T19" s="189"/>
      <c r="U19" s="159"/>
    </row>
    <row r="20" spans="1:21" ht="15.75">
      <c r="A20" s="200" t="s">
        <v>927</v>
      </c>
      <c r="B20" s="189"/>
      <c r="C20" s="189"/>
      <c r="D20" s="189"/>
      <c r="E20" s="189"/>
      <c r="F20" s="189"/>
      <c r="G20" s="189"/>
      <c r="H20" s="189"/>
      <c r="I20" s="189"/>
      <c r="J20" s="189"/>
      <c r="K20" s="189"/>
      <c r="L20" s="189"/>
      <c r="M20" s="189"/>
      <c r="N20" s="189"/>
      <c r="O20" s="189"/>
      <c r="P20" s="189"/>
      <c r="Q20" s="189"/>
      <c r="R20" s="189"/>
      <c r="S20" s="189"/>
      <c r="T20" s="189"/>
      <c r="U20" s="159"/>
    </row>
    <row r="21" spans="1:21" ht="16.5" thickBot="1">
      <c r="A21" s="203" t="s">
        <v>929</v>
      </c>
      <c r="B21" s="204"/>
      <c r="C21" s="190"/>
      <c r="D21" s="190"/>
      <c r="E21" s="190"/>
      <c r="F21" s="190"/>
      <c r="G21" s="190"/>
      <c r="H21" s="190"/>
      <c r="I21" s="190"/>
      <c r="J21" s="190"/>
      <c r="K21" s="190"/>
      <c r="L21" s="190"/>
      <c r="M21" s="190"/>
      <c r="N21" s="190"/>
      <c r="O21" s="190"/>
      <c r="P21" s="190"/>
      <c r="Q21" s="190"/>
      <c r="R21" s="190"/>
      <c r="S21" s="190"/>
      <c r="T21" s="190"/>
      <c r="U21" s="161"/>
    </row>
    <row r="22" spans="1:21" ht="16.5" thickBot="1">
      <c r="A22" s="205" t="s">
        <v>930</v>
      </c>
      <c r="B22" s="206"/>
      <c r="C22" s="156"/>
      <c r="D22" s="156"/>
      <c r="E22" s="156"/>
      <c r="F22" s="156"/>
      <c r="G22" s="156"/>
      <c r="H22" s="156"/>
      <c r="I22" s="156"/>
      <c r="J22" s="156"/>
      <c r="K22" s="156"/>
      <c r="L22" s="156"/>
      <c r="M22" s="156"/>
      <c r="N22" s="156"/>
      <c r="O22" s="156"/>
      <c r="P22" s="74"/>
      <c r="Q22" s="74"/>
      <c r="R22" s="74"/>
      <c r="S22" s="74"/>
      <c r="T22" s="74"/>
      <c r="U22" s="74"/>
    </row>
    <row r="23" spans="1:21" ht="16.5" thickBot="1">
      <c r="A23" s="207" t="s">
        <v>931</v>
      </c>
      <c r="B23" s="208"/>
      <c r="C23" s="156"/>
      <c r="D23" s="156"/>
      <c r="E23" s="156"/>
      <c r="F23" s="156"/>
      <c r="G23" s="156"/>
      <c r="H23" s="156"/>
      <c r="I23" s="156"/>
      <c r="J23" s="156"/>
      <c r="K23" s="156"/>
      <c r="L23" s="156"/>
      <c r="M23" s="156"/>
      <c r="N23" s="156"/>
      <c r="O23" s="156"/>
      <c r="P23" s="74"/>
      <c r="Q23" s="74"/>
      <c r="R23" s="74"/>
      <c r="S23" s="74"/>
      <c r="T23" s="74"/>
      <c r="U23" s="74"/>
    </row>
    <row r="24" spans="1:21" ht="15.75">
      <c r="A24" s="74"/>
      <c r="B24" s="74"/>
      <c r="C24" s="74"/>
      <c r="D24" s="74"/>
      <c r="E24" s="74"/>
      <c r="F24" s="74"/>
      <c r="G24" s="74"/>
      <c r="H24" s="74"/>
      <c r="I24" s="74"/>
      <c r="J24" s="74"/>
      <c r="K24" s="74"/>
      <c r="L24" s="74"/>
      <c r="M24" s="74"/>
      <c r="N24" s="74"/>
      <c r="O24" s="74"/>
      <c r="P24" s="74"/>
      <c r="Q24" s="74"/>
      <c r="R24" s="74"/>
      <c r="S24" s="74"/>
      <c r="T24" s="74"/>
      <c r="U24" s="74"/>
    </row>
    <row r="25" spans="1:21" ht="15.75">
      <c r="A25" s="209" t="s">
        <v>932</v>
      </c>
      <c r="B25" s="869"/>
      <c r="C25" s="869"/>
      <c r="D25" s="869"/>
      <c r="E25" s="869"/>
      <c r="F25" s="869"/>
      <c r="G25" s="869"/>
      <c r="H25" s="869"/>
      <c r="I25" s="869"/>
      <c r="J25" s="869"/>
      <c r="K25" s="869"/>
      <c r="L25" s="869"/>
      <c r="M25" s="869"/>
      <c r="N25" s="869"/>
      <c r="O25" s="869"/>
      <c r="P25" s="869"/>
      <c r="Q25" s="869"/>
      <c r="R25" s="869"/>
      <c r="S25" s="869"/>
      <c r="T25" s="869"/>
      <c r="U25" s="869"/>
    </row>
    <row r="26" spans="1:21" ht="15.75">
      <c r="A26" s="131"/>
      <c r="B26" s="131"/>
      <c r="C26" s="131"/>
      <c r="D26" s="131"/>
      <c r="E26" s="131"/>
      <c r="F26" s="131"/>
      <c r="G26" s="74"/>
      <c r="H26" s="74"/>
      <c r="I26" s="74"/>
      <c r="J26" s="74"/>
      <c r="K26" s="74"/>
      <c r="L26" s="74"/>
      <c r="M26" s="74"/>
      <c r="N26" s="74"/>
      <c r="O26" s="74"/>
      <c r="P26" s="74"/>
      <c r="Q26" s="74"/>
      <c r="R26" s="74"/>
      <c r="S26" s="74"/>
      <c r="T26" s="74"/>
      <c r="U26" s="74"/>
    </row>
    <row r="27" spans="1:21" ht="15.75">
      <c r="A27" s="131"/>
      <c r="B27" s="131"/>
      <c r="C27" s="131"/>
      <c r="D27" s="131"/>
      <c r="E27" s="131"/>
      <c r="F27" s="131"/>
      <c r="G27" s="74"/>
      <c r="H27" s="74"/>
      <c r="I27" s="74"/>
      <c r="J27" s="74"/>
      <c r="K27" s="74"/>
      <c r="L27" s="74"/>
      <c r="M27" s="74"/>
      <c r="N27" s="74"/>
      <c r="O27" s="74"/>
      <c r="P27" s="74"/>
      <c r="Q27" s="74"/>
      <c r="R27" s="74"/>
      <c r="S27" s="74"/>
      <c r="T27" s="74"/>
      <c r="U27" s="74"/>
    </row>
    <row r="28" spans="1:21" ht="15.75">
      <c r="A28" s="74"/>
      <c r="B28" s="74"/>
      <c r="C28" s="74"/>
      <c r="D28" s="74"/>
      <c r="E28" s="74"/>
      <c r="F28" s="74"/>
      <c r="G28" s="74"/>
      <c r="H28" s="74"/>
      <c r="I28" s="74"/>
      <c r="J28" s="74"/>
      <c r="K28" s="74"/>
      <c r="L28" s="74"/>
      <c r="M28" s="74"/>
      <c r="N28" s="74"/>
      <c r="O28" s="74"/>
      <c r="P28" s="74"/>
      <c r="Q28" s="74"/>
      <c r="R28" s="74"/>
      <c r="S28" s="74"/>
      <c r="T28" s="74"/>
      <c r="U28" s="74"/>
    </row>
    <row r="29" spans="1:21" ht="15.75">
      <c r="A29" s="867" t="s">
        <v>1455</v>
      </c>
      <c r="B29" s="867"/>
      <c r="C29" s="74"/>
      <c r="D29" s="54"/>
      <c r="E29" s="54"/>
      <c r="F29" s="210" t="s">
        <v>933</v>
      </c>
      <c r="G29" s="74"/>
      <c r="H29" s="74"/>
      <c r="I29" s="74"/>
      <c r="J29" s="74"/>
      <c r="K29" s="74"/>
      <c r="L29" s="74"/>
      <c r="M29" s="74"/>
      <c r="N29" s="74"/>
      <c r="O29" s="74"/>
      <c r="P29" s="74"/>
      <c r="Q29" s="74"/>
      <c r="R29" s="74"/>
      <c r="S29" s="1"/>
      <c r="T29" s="74"/>
      <c r="U29" s="74"/>
    </row>
  </sheetData>
  <sheetProtection/>
  <mergeCells count="17">
    <mergeCell ref="A29:B29"/>
    <mergeCell ref="J7:J8"/>
    <mergeCell ref="K7:K8"/>
    <mergeCell ref="L7:L8"/>
    <mergeCell ref="M7:M8"/>
    <mergeCell ref="N7:U7"/>
    <mergeCell ref="B25:U25"/>
    <mergeCell ref="A5:U5"/>
    <mergeCell ref="A7:A8"/>
    <mergeCell ref="B7:B8"/>
    <mergeCell ref="C7:C8"/>
    <mergeCell ref="D7:D8"/>
    <mergeCell ref="E7:E8"/>
    <mergeCell ref="F7:F8"/>
    <mergeCell ref="G7:G8"/>
    <mergeCell ref="H7:H8"/>
    <mergeCell ref="I7:I8"/>
  </mergeCells>
  <printOptions/>
  <pageMargins left="0.11811023622047245" right="0.11811023622047245" top="0.7480314960629921" bottom="0.7480314960629921" header="0.31496062992125984" footer="0.31496062992125984"/>
  <pageSetup fitToHeight="0" fitToWidth="1" horizontalDpi="600" verticalDpi="600" orientation="landscape" paperSize="9" scale="39"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F42"/>
  <sheetViews>
    <sheetView tabSelected="1" view="pageBreakPreview" zoomScale="60" zoomScaleNormal="70" zoomScalePageLayoutView="0" workbookViewId="0" topLeftCell="A16">
      <selection activeCell="A88" sqref="A88"/>
    </sheetView>
  </sheetViews>
  <sheetFormatPr defaultColWidth="9.140625" defaultRowHeight="15"/>
  <cols>
    <col min="1" max="1" width="21.7109375" style="0" customWidth="1"/>
    <col min="2" max="2" width="28.7109375" style="0" customWidth="1"/>
    <col min="3" max="3" width="60.57421875" style="0" customWidth="1"/>
    <col min="4" max="6" width="50.7109375" style="0" customWidth="1"/>
  </cols>
  <sheetData>
    <row r="1" spans="1:6" ht="20.25">
      <c r="A1" s="211"/>
      <c r="B1" s="212"/>
      <c r="C1" s="211"/>
      <c r="D1" s="211"/>
      <c r="E1" s="211"/>
      <c r="F1" s="211"/>
    </row>
    <row r="2" spans="1:6" ht="20.25">
      <c r="A2" s="52" t="s">
        <v>101</v>
      </c>
      <c r="B2" s="53"/>
      <c r="C2" s="213"/>
      <c r="D2" s="213"/>
      <c r="E2" s="213"/>
      <c r="F2" s="213"/>
    </row>
    <row r="3" spans="1:6" ht="20.25">
      <c r="A3" s="52" t="s">
        <v>2</v>
      </c>
      <c r="B3" s="53"/>
      <c r="C3" s="213"/>
      <c r="D3" s="213"/>
      <c r="E3" s="213"/>
      <c r="F3" s="214" t="s">
        <v>934</v>
      </c>
    </row>
    <row r="4" spans="1:6" ht="20.25">
      <c r="A4" s="215"/>
      <c r="B4" s="216"/>
      <c r="C4" s="213"/>
      <c r="D4" s="213"/>
      <c r="E4" s="213"/>
      <c r="F4" s="213"/>
    </row>
    <row r="5" spans="1:6" ht="20.25">
      <c r="A5" s="215"/>
      <c r="B5" s="216"/>
      <c r="C5" s="213"/>
      <c r="D5" s="213"/>
      <c r="E5" s="213"/>
      <c r="F5" s="213"/>
    </row>
    <row r="6" spans="1:6" ht="20.25">
      <c r="A6" s="211"/>
      <c r="B6" s="212"/>
      <c r="C6" s="211"/>
      <c r="D6" s="211"/>
      <c r="E6" s="211"/>
      <c r="F6" s="211"/>
    </row>
    <row r="7" spans="1:6" ht="30">
      <c r="A7" s="870" t="s">
        <v>935</v>
      </c>
      <c r="B7" s="870"/>
      <c r="C7" s="870"/>
      <c r="D7" s="870"/>
      <c r="E7" s="870"/>
      <c r="F7" s="870"/>
    </row>
    <row r="8" spans="1:6" ht="21" thickBot="1">
      <c r="A8" s="211"/>
      <c r="B8" s="212"/>
      <c r="C8" s="211"/>
      <c r="D8" s="211"/>
      <c r="E8" s="211"/>
      <c r="F8" s="211"/>
    </row>
    <row r="9" spans="1:6" ht="41.25" thickBot="1">
      <c r="A9" s="217" t="s">
        <v>936</v>
      </c>
      <c r="B9" s="218" t="s">
        <v>104</v>
      </c>
      <c r="C9" s="219" t="s">
        <v>937</v>
      </c>
      <c r="D9" s="219" t="s">
        <v>938</v>
      </c>
      <c r="E9" s="219" t="s">
        <v>939</v>
      </c>
      <c r="F9" s="220" t="s">
        <v>940</v>
      </c>
    </row>
    <row r="10" spans="1:6" ht="20.25">
      <c r="A10" s="221">
        <v>1</v>
      </c>
      <c r="B10" s="222">
        <v>2</v>
      </c>
      <c r="C10" s="223">
        <v>3</v>
      </c>
      <c r="D10" s="223">
        <v>4</v>
      </c>
      <c r="E10" s="383"/>
      <c r="F10" s="383"/>
    </row>
    <row r="11" spans="1:6" ht="21" thickBot="1">
      <c r="A11" s="871" t="s">
        <v>1044</v>
      </c>
      <c r="B11" s="224" t="s">
        <v>289</v>
      </c>
      <c r="C11" s="225" t="s">
        <v>941</v>
      </c>
      <c r="D11" s="226" t="s">
        <v>922</v>
      </c>
      <c r="E11" s="227">
        <v>67908.01</v>
      </c>
      <c r="F11" s="227">
        <v>67908.01</v>
      </c>
    </row>
    <row r="12" spans="1:6" ht="21" thickBot="1">
      <c r="A12" s="871"/>
      <c r="B12" s="224" t="s">
        <v>289</v>
      </c>
      <c r="C12" s="225" t="s">
        <v>941</v>
      </c>
      <c r="D12" s="226" t="s">
        <v>922</v>
      </c>
      <c r="E12" s="444">
        <v>15793891.8</v>
      </c>
      <c r="F12" s="444">
        <v>15793891.8</v>
      </c>
    </row>
    <row r="13" spans="1:6" ht="21" thickBot="1">
      <c r="A13" s="871"/>
      <c r="B13" s="224" t="s">
        <v>289</v>
      </c>
      <c r="C13" s="225" t="s">
        <v>941</v>
      </c>
      <c r="D13" s="226" t="s">
        <v>942</v>
      </c>
      <c r="E13" s="445">
        <v>299963.46</v>
      </c>
      <c r="F13" s="445">
        <v>299963.46</v>
      </c>
    </row>
    <row r="14" spans="1:6" ht="21" thickBot="1">
      <c r="A14" s="871"/>
      <c r="B14" s="228" t="s">
        <v>289</v>
      </c>
      <c r="C14" s="225" t="s">
        <v>941</v>
      </c>
      <c r="D14" s="226" t="s">
        <v>943</v>
      </c>
      <c r="E14" s="470">
        <v>67502755.34</v>
      </c>
      <c r="F14" s="470">
        <v>67502755.34</v>
      </c>
    </row>
    <row r="15" spans="1:6" ht="21" thickBot="1">
      <c r="A15" s="871"/>
      <c r="B15" s="229" t="s">
        <v>944</v>
      </c>
      <c r="C15" s="230"/>
      <c r="D15" s="230"/>
      <c r="E15" s="471">
        <f>SUM(E11:E14)</f>
        <v>83664518.61</v>
      </c>
      <c r="F15" s="471">
        <f>SUM(F11:F14)</f>
        <v>83664518.61</v>
      </c>
    </row>
    <row r="16" spans="1:6" ht="21" thickBot="1">
      <c r="A16" s="872" t="s">
        <v>1035</v>
      </c>
      <c r="B16" s="231" t="s">
        <v>289</v>
      </c>
      <c r="C16" s="225" t="s">
        <v>941</v>
      </c>
      <c r="D16" s="226" t="s">
        <v>922</v>
      </c>
      <c r="E16" s="232">
        <v>313.01</v>
      </c>
      <c r="F16" s="232">
        <v>313.01</v>
      </c>
    </row>
    <row r="17" spans="1:6" ht="21" thickBot="1">
      <c r="A17" s="872"/>
      <c r="B17" s="224" t="s">
        <v>289</v>
      </c>
      <c r="C17" s="225" t="s">
        <v>941</v>
      </c>
      <c r="D17" s="226" t="s">
        <v>922</v>
      </c>
      <c r="E17" s="233">
        <v>99894.26</v>
      </c>
      <c r="F17" s="233">
        <v>99894.26</v>
      </c>
    </row>
    <row r="18" spans="1:6" s="440" customFormat="1" ht="21" thickBot="1">
      <c r="A18" s="872"/>
      <c r="B18" s="224" t="s">
        <v>289</v>
      </c>
      <c r="C18" s="225" t="s">
        <v>941</v>
      </c>
      <c r="D18" s="226" t="s">
        <v>942</v>
      </c>
      <c r="E18" s="233">
        <v>115184.71</v>
      </c>
      <c r="F18" s="233">
        <v>115184.71</v>
      </c>
    </row>
    <row r="19" spans="1:6" ht="21" thickBot="1">
      <c r="A19" s="872"/>
      <c r="B19" s="228" t="s">
        <v>289</v>
      </c>
      <c r="C19" s="234" t="s">
        <v>941</v>
      </c>
      <c r="D19" s="235" t="s">
        <v>943</v>
      </c>
      <c r="E19" s="236">
        <v>14380563.06</v>
      </c>
      <c r="F19" s="236">
        <v>14380563.06</v>
      </c>
    </row>
    <row r="20" spans="1:6" ht="21" thickBot="1">
      <c r="A20" s="872"/>
      <c r="B20" s="228" t="s">
        <v>289</v>
      </c>
      <c r="C20" s="238" t="s">
        <v>941</v>
      </c>
      <c r="D20" s="239" t="s">
        <v>945</v>
      </c>
      <c r="E20" s="236">
        <v>1000000</v>
      </c>
      <c r="F20" s="236">
        <v>1000000</v>
      </c>
    </row>
    <row r="21" spans="1:6" ht="21" thickBot="1">
      <c r="A21" s="872"/>
      <c r="B21" s="240" t="s">
        <v>944</v>
      </c>
      <c r="C21" s="241"/>
      <c r="D21" s="241"/>
      <c r="E21" s="242">
        <f>SUM(E16:E20)</f>
        <v>15595955.040000001</v>
      </c>
      <c r="F21" s="242">
        <f>SUM(F16:F20)</f>
        <v>15595955.040000001</v>
      </c>
    </row>
    <row r="22" spans="1:6" ht="21" thickBot="1">
      <c r="A22" s="872" t="s">
        <v>1045</v>
      </c>
      <c r="B22" s="243" t="s">
        <v>289</v>
      </c>
      <c r="C22" s="225" t="s">
        <v>941</v>
      </c>
      <c r="D22" s="226" t="s">
        <v>922</v>
      </c>
      <c r="E22" s="232">
        <v>313.01</v>
      </c>
      <c r="F22" s="232">
        <v>313.01</v>
      </c>
    </row>
    <row r="23" spans="1:6" ht="21" thickBot="1">
      <c r="A23" s="872"/>
      <c r="B23" s="244" t="s">
        <v>289</v>
      </c>
      <c r="C23" s="225" t="s">
        <v>941</v>
      </c>
      <c r="D23" s="226" t="s">
        <v>922</v>
      </c>
      <c r="E23" s="227">
        <v>5719988.31</v>
      </c>
      <c r="F23" s="227">
        <v>5719988.31</v>
      </c>
    </row>
    <row r="24" spans="1:6" ht="21" thickBot="1">
      <c r="A24" s="872"/>
      <c r="B24" s="244" t="s">
        <v>289</v>
      </c>
      <c r="C24" s="225" t="s">
        <v>941</v>
      </c>
      <c r="D24" s="226" t="s">
        <v>942</v>
      </c>
      <c r="E24" s="305">
        <v>295841.13</v>
      </c>
      <c r="F24" s="305">
        <v>295841.13</v>
      </c>
    </row>
    <row r="25" spans="1:6" ht="21" thickBot="1">
      <c r="A25" s="872"/>
      <c r="B25" s="301" t="s">
        <v>289</v>
      </c>
      <c r="C25" s="234" t="s">
        <v>941</v>
      </c>
      <c r="D25" s="235" t="s">
        <v>943</v>
      </c>
      <c r="E25" s="498">
        <v>11511633.28</v>
      </c>
      <c r="F25" s="498">
        <v>11511633.28</v>
      </c>
    </row>
    <row r="26" spans="1:6" ht="21" thickBot="1">
      <c r="A26" s="872"/>
      <c r="B26" s="301" t="s">
        <v>289</v>
      </c>
      <c r="C26" s="238" t="s">
        <v>941</v>
      </c>
      <c r="D26" s="239" t="s">
        <v>945</v>
      </c>
      <c r="E26" s="306"/>
      <c r="F26" s="306"/>
    </row>
    <row r="27" spans="1:6" ht="21" thickBot="1">
      <c r="A27" s="872"/>
      <c r="B27" s="302" t="s">
        <v>944</v>
      </c>
      <c r="C27" s="303"/>
      <c r="D27" s="303"/>
      <c r="E27" s="307">
        <f>E22+E23+E24+E25</f>
        <v>17527775.729999997</v>
      </c>
      <c r="F27" s="307">
        <f>F22+F23+F24+F25</f>
        <v>17527775.729999997</v>
      </c>
    </row>
    <row r="28" spans="1:6" ht="21" thickBot="1">
      <c r="A28" s="872" t="s">
        <v>1046</v>
      </c>
      <c r="B28" s="231" t="s">
        <v>289</v>
      </c>
      <c r="C28" s="225" t="s">
        <v>941</v>
      </c>
      <c r="D28" s="226" t="s">
        <v>922</v>
      </c>
      <c r="E28" s="304"/>
      <c r="F28" s="304"/>
    </row>
    <row r="29" spans="1:6" ht="21" thickBot="1">
      <c r="A29" s="872"/>
      <c r="B29" s="224" t="s">
        <v>289</v>
      </c>
      <c r="C29" s="225" t="s">
        <v>941</v>
      </c>
      <c r="D29" s="226" t="s">
        <v>922</v>
      </c>
      <c r="E29" s="227"/>
      <c r="F29" s="227"/>
    </row>
    <row r="30" spans="1:6" ht="21" thickBot="1">
      <c r="A30" s="872"/>
      <c r="B30" s="224" t="s">
        <v>289</v>
      </c>
      <c r="C30" s="225" t="s">
        <v>941</v>
      </c>
      <c r="D30" s="380" t="s">
        <v>942</v>
      </c>
      <c r="E30" s="227"/>
      <c r="F30" s="227"/>
    </row>
    <row r="31" spans="1:6" ht="21" thickBot="1">
      <c r="A31" s="872"/>
      <c r="B31" s="228" t="s">
        <v>289</v>
      </c>
      <c r="C31" s="234" t="s">
        <v>941</v>
      </c>
      <c r="D31" s="381" t="s">
        <v>943</v>
      </c>
      <c r="E31" s="227"/>
      <c r="F31" s="227"/>
    </row>
    <row r="32" spans="1:6" ht="21" thickBot="1">
      <c r="A32" s="872"/>
      <c r="B32" s="228" t="s">
        <v>289</v>
      </c>
      <c r="C32" s="238" t="s">
        <v>941</v>
      </c>
      <c r="D32" s="382" t="s">
        <v>945</v>
      </c>
      <c r="E32" s="227"/>
      <c r="F32" s="227"/>
    </row>
    <row r="33" spans="1:6" ht="21" thickBot="1">
      <c r="A33" s="872"/>
      <c r="B33" s="229" t="s">
        <v>944</v>
      </c>
      <c r="C33" s="308"/>
      <c r="D33" s="308"/>
      <c r="E33" s="384"/>
      <c r="F33" s="385"/>
    </row>
    <row r="34" spans="1:6" ht="21" thickBot="1">
      <c r="A34" s="872" t="s">
        <v>1047</v>
      </c>
      <c r="B34" s="243" t="s">
        <v>289</v>
      </c>
      <c r="C34" s="225" t="s">
        <v>941</v>
      </c>
      <c r="D34" s="226" t="s">
        <v>922</v>
      </c>
      <c r="E34" s="383"/>
      <c r="F34" s="383"/>
    </row>
    <row r="35" spans="1:6" ht="21" thickBot="1">
      <c r="A35" s="872"/>
      <c r="B35" s="224" t="s">
        <v>289</v>
      </c>
      <c r="C35" s="225" t="s">
        <v>941</v>
      </c>
      <c r="D35" s="226" t="s">
        <v>922</v>
      </c>
      <c r="E35" s="227"/>
      <c r="F35" s="227"/>
    </row>
    <row r="36" spans="1:6" ht="21" thickBot="1">
      <c r="A36" s="872"/>
      <c r="B36" s="228" t="s">
        <v>289</v>
      </c>
      <c r="C36" s="225" t="s">
        <v>941</v>
      </c>
      <c r="D36" s="380" t="s">
        <v>942</v>
      </c>
      <c r="E36" s="444"/>
      <c r="F36" s="444"/>
    </row>
    <row r="37" spans="1:6" s="440" customFormat="1" ht="21" thickBot="1">
      <c r="A37" s="873"/>
      <c r="B37" s="237" t="s">
        <v>289</v>
      </c>
      <c r="C37" s="443" t="s">
        <v>941</v>
      </c>
      <c r="D37" s="381" t="s">
        <v>943</v>
      </c>
      <c r="E37" s="445"/>
      <c r="F37" s="445"/>
    </row>
    <row r="38" spans="1:6" ht="18.75" customHeight="1" thickBot="1">
      <c r="A38" s="873"/>
      <c r="B38" s="446" t="s">
        <v>944</v>
      </c>
      <c r="C38" s="303"/>
      <c r="D38" s="447"/>
      <c r="E38" s="415"/>
      <c r="F38" s="415"/>
    </row>
    <row r="39" spans="1:5" ht="3.75" customHeight="1" thickBot="1">
      <c r="A39" s="872"/>
      <c r="B39" s="211"/>
      <c r="C39" s="211"/>
      <c r="D39" s="211"/>
      <c r="E39" s="211"/>
    </row>
    <row r="40" spans="1:6" ht="20.25">
      <c r="A40" s="211"/>
      <c r="B40" s="212"/>
      <c r="C40" s="74"/>
      <c r="D40" s="74"/>
      <c r="E40" s="164" t="s">
        <v>946</v>
      </c>
      <c r="F40" s="164"/>
    </row>
    <row r="41" spans="1:6" ht="22.5" customHeight="1">
      <c r="A41" s="74" t="s">
        <v>1452</v>
      </c>
      <c r="B41" s="74"/>
      <c r="C41" s="74"/>
      <c r="D41" s="75" t="s">
        <v>490</v>
      </c>
      <c r="E41" s="74"/>
      <c r="F41" s="74"/>
    </row>
    <row r="42" spans="1:2" ht="15.75">
      <c r="A42" s="74"/>
      <c r="B42" s="386"/>
    </row>
  </sheetData>
  <sheetProtection/>
  <mergeCells count="6">
    <mergeCell ref="A7:F7"/>
    <mergeCell ref="A11:A15"/>
    <mergeCell ref="A16:A21"/>
    <mergeCell ref="A22:A27"/>
    <mergeCell ref="A28:A33"/>
    <mergeCell ref="A34:A39"/>
  </mergeCells>
  <printOptions/>
  <pageMargins left="0.7" right="0.7" top="0.75" bottom="0.75" header="0.3" footer="0.3"/>
  <pageSetup fitToHeight="0" fitToWidth="1" horizontalDpi="600" verticalDpi="600" orientation="landscape" scale="46"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L32"/>
  <sheetViews>
    <sheetView tabSelected="1" view="pageBreakPreview" zoomScale="60" zoomScaleNormal="85" zoomScalePageLayoutView="0" workbookViewId="0" topLeftCell="A1">
      <selection activeCell="A88" sqref="A88"/>
    </sheetView>
  </sheetViews>
  <sheetFormatPr defaultColWidth="9.140625" defaultRowHeight="15"/>
  <cols>
    <col min="1" max="1" width="17.57421875" style="0" customWidth="1"/>
    <col min="2" max="2" width="44.00390625" style="0" customWidth="1"/>
    <col min="3" max="3" width="24.140625" style="0" customWidth="1"/>
    <col min="4" max="4" width="26.140625" style="0" customWidth="1"/>
    <col min="5" max="5" width="22.00390625" style="0" customWidth="1"/>
    <col min="6" max="6" width="19.28125" style="0" customWidth="1"/>
    <col min="7" max="12" width="13.7109375" style="0" customWidth="1"/>
  </cols>
  <sheetData>
    <row r="1" spans="1:12" ht="18.75">
      <c r="A1" s="52" t="s">
        <v>101</v>
      </c>
      <c r="B1" s="53"/>
      <c r="C1" s="245"/>
      <c r="D1" s="245"/>
      <c r="E1" s="245"/>
      <c r="F1" s="245"/>
      <c r="G1" s="245"/>
      <c r="H1" s="245"/>
      <c r="I1" s="245"/>
      <c r="J1" s="245"/>
      <c r="K1" s="245"/>
      <c r="L1" s="246" t="s">
        <v>947</v>
      </c>
    </row>
    <row r="2" spans="1:12" ht="18.75">
      <c r="A2" s="52" t="s">
        <v>2</v>
      </c>
      <c r="B2" s="53"/>
      <c r="C2" s="245"/>
      <c r="D2" s="245"/>
      <c r="E2" s="245"/>
      <c r="F2" s="245"/>
      <c r="G2" s="245"/>
      <c r="H2" s="245"/>
      <c r="I2" s="245"/>
      <c r="J2" s="245"/>
      <c r="K2" s="245"/>
      <c r="L2" s="245"/>
    </row>
    <row r="3" spans="1:12" ht="15.75">
      <c r="A3" s="874" t="s">
        <v>948</v>
      </c>
      <c r="B3" s="874"/>
      <c r="C3" s="874"/>
      <c r="D3" s="874"/>
      <c r="E3" s="874"/>
      <c r="F3" s="874"/>
      <c r="G3" s="874"/>
      <c r="H3" s="874"/>
      <c r="I3" s="874"/>
      <c r="J3" s="874"/>
      <c r="K3" s="874"/>
      <c r="L3" s="874"/>
    </row>
    <row r="4" spans="1:12" ht="15.75">
      <c r="A4" s="245"/>
      <c r="B4" s="245"/>
      <c r="C4" s="245"/>
      <c r="D4" s="245"/>
      <c r="E4" s="245"/>
      <c r="F4" s="245"/>
      <c r="G4" s="245"/>
      <c r="H4" s="245"/>
      <c r="I4" s="245"/>
      <c r="J4" s="245"/>
      <c r="K4" s="245"/>
      <c r="L4" s="245"/>
    </row>
    <row r="5" spans="1:12" ht="16.5" thickBot="1">
      <c r="A5" s="247"/>
      <c r="B5" s="247"/>
      <c r="C5" s="247"/>
      <c r="D5" s="247"/>
      <c r="E5" s="247"/>
      <c r="F5" s="247"/>
      <c r="G5" s="247" t="s">
        <v>949</v>
      </c>
      <c r="H5" s="245"/>
      <c r="I5" s="245"/>
      <c r="J5" s="245"/>
      <c r="K5" s="245"/>
      <c r="L5" s="245"/>
    </row>
    <row r="6" spans="1:12" ht="95.25" thickBot="1">
      <c r="A6" s="248" t="s">
        <v>950</v>
      </c>
      <c r="B6" s="249" t="s">
        <v>951</v>
      </c>
      <c r="C6" s="250" t="s">
        <v>952</v>
      </c>
      <c r="D6" s="250" t="s">
        <v>953</v>
      </c>
      <c r="E6" s="250" t="s">
        <v>954</v>
      </c>
      <c r="F6" s="250" t="s">
        <v>955</v>
      </c>
      <c r="G6" s="249" t="s">
        <v>956</v>
      </c>
      <c r="H6" s="245"/>
      <c r="I6" s="251"/>
      <c r="J6" s="251"/>
      <c r="K6" s="245"/>
      <c r="L6" s="245"/>
    </row>
    <row r="7" spans="1:12" ht="15.75">
      <c r="A7" s="252">
        <v>1</v>
      </c>
      <c r="B7" s="253"/>
      <c r="C7" s="254"/>
      <c r="D7" s="255"/>
      <c r="E7" s="255"/>
      <c r="F7" s="256"/>
      <c r="G7" s="256"/>
      <c r="H7" s="257"/>
      <c r="I7" s="257"/>
      <c r="J7" s="257"/>
      <c r="K7" s="258"/>
      <c r="L7" s="258"/>
    </row>
    <row r="8" spans="1:12" ht="15.75">
      <c r="A8" s="259">
        <v>2</v>
      </c>
      <c r="B8" s="260"/>
      <c r="C8" s="254"/>
      <c r="D8" s="255"/>
      <c r="E8" s="255"/>
      <c r="F8" s="256"/>
      <c r="G8" s="262"/>
      <c r="H8" s="264"/>
      <c r="I8" s="264"/>
      <c r="J8" s="264"/>
      <c r="K8" s="245"/>
      <c r="L8" s="245"/>
    </row>
    <row r="9" spans="1:12" ht="15.75">
      <c r="A9" s="259">
        <v>3</v>
      </c>
      <c r="B9" s="260"/>
      <c r="C9" s="254"/>
      <c r="D9" s="255"/>
      <c r="E9" s="255"/>
      <c r="F9" s="256"/>
      <c r="G9" s="262"/>
      <c r="H9" s="264"/>
      <c r="I9" s="264"/>
      <c r="J9" s="264"/>
      <c r="K9" s="245"/>
      <c r="L9" s="245"/>
    </row>
    <row r="10" spans="1:12" s="419" customFormat="1" ht="15.75">
      <c r="A10" s="259">
        <v>4</v>
      </c>
      <c r="B10" s="416"/>
      <c r="C10" s="254"/>
      <c r="D10" s="255"/>
      <c r="E10" s="255"/>
      <c r="F10" s="256"/>
      <c r="G10" s="418"/>
      <c r="H10" s="257"/>
      <c r="I10" s="257"/>
      <c r="J10" s="257"/>
      <c r="K10" s="258"/>
      <c r="L10" s="258"/>
    </row>
    <row r="11" spans="1:12" ht="15.75">
      <c r="A11" s="259">
        <v>5</v>
      </c>
      <c r="B11" s="260"/>
      <c r="C11" s="254"/>
      <c r="D11" s="255"/>
      <c r="E11" s="255"/>
      <c r="F11" s="256"/>
      <c r="G11" s="263"/>
      <c r="H11" s="264"/>
      <c r="I11" s="264"/>
      <c r="J11" s="264"/>
      <c r="K11" s="245"/>
      <c r="L11" s="245"/>
    </row>
    <row r="12" spans="1:12" s="421" customFormat="1" ht="15.75">
      <c r="A12" s="259">
        <v>6</v>
      </c>
      <c r="B12" s="420"/>
      <c r="C12" s="254"/>
      <c r="D12" s="255"/>
      <c r="E12" s="255"/>
      <c r="F12" s="417"/>
      <c r="G12" s="418"/>
      <c r="H12" s="257"/>
      <c r="I12" s="257"/>
      <c r="J12" s="257"/>
      <c r="K12" s="258"/>
      <c r="L12" s="258"/>
    </row>
    <row r="13" spans="1:12" ht="15.75">
      <c r="A13" s="259">
        <v>7</v>
      </c>
      <c r="B13" s="260"/>
      <c r="C13" s="261"/>
      <c r="D13" s="262"/>
      <c r="E13" s="262"/>
      <c r="F13" s="262"/>
      <c r="G13" s="263"/>
      <c r="H13" s="264"/>
      <c r="I13" s="264"/>
      <c r="J13" s="264"/>
      <c r="K13" s="245"/>
      <c r="L13" s="245"/>
    </row>
    <row r="14" spans="1:12" ht="16.5" thickBot="1">
      <c r="A14" s="310">
        <v>8</v>
      </c>
      <c r="B14" s="311"/>
      <c r="C14" s="265"/>
      <c r="D14" s="266"/>
      <c r="E14" s="266"/>
      <c r="F14" s="266"/>
      <c r="G14" s="267"/>
      <c r="H14" s="264"/>
      <c r="I14" s="264"/>
      <c r="J14" s="264"/>
      <c r="K14" s="245"/>
      <c r="L14" s="245"/>
    </row>
    <row r="15" spans="1:12" ht="16.5" thickBot="1">
      <c r="A15" s="875" t="s">
        <v>957</v>
      </c>
      <c r="B15" s="875"/>
      <c r="C15" s="268"/>
      <c r="D15" s="268"/>
      <c r="E15" s="269"/>
      <c r="F15" s="309">
        <f>SUM(F7:F14)</f>
        <v>0</v>
      </c>
      <c r="G15" s="312">
        <f>SUM(G7:G14)</f>
        <v>0</v>
      </c>
      <c r="H15" s="264"/>
      <c r="I15" s="264"/>
      <c r="J15" s="264"/>
      <c r="K15" s="245"/>
      <c r="L15" s="245"/>
    </row>
    <row r="16" spans="1:12" ht="15.75">
      <c r="A16" s="264"/>
      <c r="B16" s="270"/>
      <c r="C16" s="271"/>
      <c r="D16" s="271"/>
      <c r="E16" s="272"/>
      <c r="F16" s="273"/>
      <c r="G16" s="272"/>
      <c r="H16" s="264"/>
      <c r="I16" s="264"/>
      <c r="J16" s="264"/>
      <c r="K16" s="245"/>
      <c r="L16" s="245"/>
    </row>
    <row r="17" spans="1:12" ht="15.75">
      <c r="A17" s="274" t="s">
        <v>958</v>
      </c>
      <c r="B17" s="274"/>
      <c r="C17" s="274"/>
      <c r="D17" s="274"/>
      <c r="E17" s="274"/>
      <c r="F17" s="274"/>
      <c r="G17" s="274"/>
      <c r="H17" s="264"/>
      <c r="I17" s="264"/>
      <c r="J17" s="264"/>
      <c r="K17" s="245"/>
      <c r="L17" s="245"/>
    </row>
    <row r="18" spans="1:12" ht="16.5" thickBot="1">
      <c r="A18" s="247"/>
      <c r="D18" s="264"/>
      <c r="E18" s="247"/>
      <c r="F18" s="247"/>
      <c r="G18" s="247"/>
      <c r="H18" s="247"/>
      <c r="I18" s="245"/>
      <c r="J18" s="245"/>
      <c r="K18" s="245"/>
      <c r="L18" s="247" t="s">
        <v>949</v>
      </c>
    </row>
    <row r="19" spans="1:12" ht="16.5" thickBot="1">
      <c r="A19" s="876" t="s">
        <v>950</v>
      </c>
      <c r="B19" s="877" t="s">
        <v>951</v>
      </c>
      <c r="C19" s="879" t="s">
        <v>959</v>
      </c>
      <c r="D19" s="880"/>
      <c r="E19" s="881" t="s">
        <v>1036</v>
      </c>
      <c r="F19" s="882"/>
      <c r="G19" s="883" t="s">
        <v>1048</v>
      </c>
      <c r="H19" s="883"/>
      <c r="I19" s="884" t="s">
        <v>1049</v>
      </c>
      <c r="J19" s="884"/>
      <c r="K19" s="885" t="s">
        <v>1050</v>
      </c>
      <c r="L19" s="885"/>
    </row>
    <row r="20" spans="1:12" ht="16.5" thickBot="1">
      <c r="A20" s="876"/>
      <c r="B20" s="878"/>
      <c r="C20" s="501" t="s">
        <v>960</v>
      </c>
      <c r="D20" s="502" t="s">
        <v>961</v>
      </c>
      <c r="E20" s="275" t="s">
        <v>960</v>
      </c>
      <c r="F20" s="276" t="s">
        <v>961</v>
      </c>
      <c r="G20" s="275" t="s">
        <v>960</v>
      </c>
      <c r="H20" s="276" t="s">
        <v>961</v>
      </c>
      <c r="I20" s="275" t="s">
        <v>960</v>
      </c>
      <c r="J20" s="276" t="s">
        <v>961</v>
      </c>
      <c r="K20" s="275" t="s">
        <v>1027</v>
      </c>
      <c r="L20" s="276" t="s">
        <v>961</v>
      </c>
    </row>
    <row r="21" spans="1:12" ht="15.75">
      <c r="A21" s="277">
        <v>1</v>
      </c>
      <c r="B21" s="253" t="s">
        <v>1063</v>
      </c>
      <c r="C21" s="256">
        <v>6000</v>
      </c>
      <c r="D21" s="279"/>
      <c r="E21" s="278"/>
      <c r="F21" s="279"/>
      <c r="G21" s="278">
        <v>6000</v>
      </c>
      <c r="H21" s="280"/>
      <c r="I21" s="281"/>
      <c r="J21" s="279"/>
      <c r="K21" s="281"/>
      <c r="L21" s="279"/>
    </row>
    <row r="22" spans="1:12" ht="15.75">
      <c r="A22" s="259">
        <v>2</v>
      </c>
      <c r="B22" s="260" t="s">
        <v>1064</v>
      </c>
      <c r="C22" s="256">
        <v>3000</v>
      </c>
      <c r="D22" s="283"/>
      <c r="E22" s="282"/>
      <c r="F22" s="283"/>
      <c r="G22" s="282">
        <v>3000</v>
      </c>
      <c r="H22" s="284"/>
      <c r="I22" s="285"/>
      <c r="J22" s="283"/>
      <c r="K22" s="285"/>
      <c r="L22" s="283"/>
    </row>
    <row r="23" spans="1:12" ht="15.75">
      <c r="A23" s="259">
        <v>3</v>
      </c>
      <c r="B23" s="260" t="s">
        <v>1029</v>
      </c>
      <c r="C23" s="256">
        <v>7000</v>
      </c>
      <c r="D23" s="283"/>
      <c r="E23" s="282"/>
      <c r="F23" s="283"/>
      <c r="G23" s="282">
        <v>7000</v>
      </c>
      <c r="H23" s="284"/>
      <c r="I23" s="285"/>
      <c r="J23" s="283"/>
      <c r="K23" s="285"/>
      <c r="L23" s="283"/>
    </row>
    <row r="24" spans="1:12" ht="15.75">
      <c r="A24" s="259">
        <v>4</v>
      </c>
      <c r="B24" s="416" t="s">
        <v>1018</v>
      </c>
      <c r="C24" s="256">
        <v>1000</v>
      </c>
      <c r="D24" s="283"/>
      <c r="E24" s="282"/>
      <c r="F24" s="283"/>
      <c r="G24" s="282"/>
      <c r="H24" s="284"/>
      <c r="I24" s="285"/>
      <c r="J24" s="283"/>
      <c r="K24" s="285"/>
      <c r="L24" s="283"/>
    </row>
    <row r="25" spans="1:12" ht="37.5" customHeight="1">
      <c r="A25" s="259">
        <v>5</v>
      </c>
      <c r="B25" s="510" t="s">
        <v>1068</v>
      </c>
      <c r="C25" s="256">
        <v>1300</v>
      </c>
      <c r="D25" s="283"/>
      <c r="E25" s="282">
        <v>1300</v>
      </c>
      <c r="F25" s="283"/>
      <c r="G25" s="282">
        <v>1300</v>
      </c>
      <c r="H25" s="284"/>
      <c r="I25" s="285"/>
      <c r="J25" s="283"/>
      <c r="K25" s="285"/>
      <c r="L25" s="283"/>
    </row>
    <row r="26" spans="1:12" s="440" customFormat="1" ht="28.5" customHeight="1">
      <c r="A26" s="259">
        <v>6</v>
      </c>
      <c r="B26" s="420" t="s">
        <v>1065</v>
      </c>
      <c r="C26" s="256">
        <v>505</v>
      </c>
      <c r="D26" s="283"/>
      <c r="E26" s="282"/>
      <c r="F26" s="283"/>
      <c r="G26" s="282">
        <v>505</v>
      </c>
      <c r="H26" s="284"/>
      <c r="I26" s="285"/>
      <c r="J26" s="283"/>
      <c r="K26" s="285"/>
      <c r="L26" s="283"/>
    </row>
    <row r="27" spans="1:12" s="440" customFormat="1" ht="15.75">
      <c r="A27" s="259">
        <v>7</v>
      </c>
      <c r="B27" s="420" t="s">
        <v>1073</v>
      </c>
      <c r="C27" s="417">
        <v>495</v>
      </c>
      <c r="D27" s="283"/>
      <c r="E27" s="282"/>
      <c r="F27" s="283"/>
      <c r="G27" s="282">
        <v>495</v>
      </c>
      <c r="H27" s="284">
        <v>495</v>
      </c>
      <c r="I27" s="285"/>
      <c r="J27" s="283"/>
      <c r="K27" s="285"/>
      <c r="L27" s="283"/>
    </row>
    <row r="28" spans="1:12" ht="16.5" thickBot="1">
      <c r="A28" s="442" t="s">
        <v>957</v>
      </c>
      <c r="B28" s="442"/>
      <c r="C28" s="286">
        <f>SUM(C21:C27)</f>
        <v>19300</v>
      </c>
      <c r="D28" s="287"/>
      <c r="E28" s="286">
        <v>1300</v>
      </c>
      <c r="F28" s="287">
        <f>SUM(F22:F27)</f>
        <v>0</v>
      </c>
      <c r="G28" s="286">
        <f>SUM(G21:G27)</f>
        <v>18300</v>
      </c>
      <c r="H28" s="288">
        <f>SUM(H22:H27)</f>
        <v>495</v>
      </c>
      <c r="I28" s="289"/>
      <c r="J28" s="287"/>
      <c r="K28" s="287"/>
      <c r="L28" s="287"/>
    </row>
    <row r="29" spans="1:6" ht="15.75">
      <c r="A29" s="74" t="s">
        <v>1452</v>
      </c>
      <c r="B29" s="74"/>
      <c r="C29" s="74"/>
      <c r="D29" s="75" t="s">
        <v>490</v>
      </c>
      <c r="E29" s="164" t="s">
        <v>946</v>
      </c>
      <c r="F29" s="164"/>
    </row>
    <row r="30" spans="1:6" ht="17.25" customHeight="1">
      <c r="A30" s="74"/>
      <c r="B30" s="212"/>
      <c r="C30" s="211"/>
      <c r="D30" s="75"/>
      <c r="E30" s="211"/>
      <c r="F30" s="211"/>
    </row>
    <row r="31" spans="1:10" ht="15.75">
      <c r="A31" s="74"/>
      <c r="D31" s="75"/>
      <c r="F31" s="164"/>
      <c r="G31" s="440"/>
      <c r="H31" s="440"/>
      <c r="I31" s="440"/>
      <c r="J31" s="440"/>
    </row>
    <row r="32" spans="1:10" ht="20.25">
      <c r="A32" s="211"/>
      <c r="F32" s="211"/>
      <c r="G32" s="440"/>
      <c r="H32" s="440"/>
      <c r="I32" s="440"/>
      <c r="J32" s="440"/>
    </row>
  </sheetData>
  <sheetProtection/>
  <mergeCells count="9">
    <mergeCell ref="A3:L3"/>
    <mergeCell ref="A15:B15"/>
    <mergeCell ref="A19:A20"/>
    <mergeCell ref="B19:B20"/>
    <mergeCell ref="C19:D19"/>
    <mergeCell ref="E19:F19"/>
    <mergeCell ref="G19:H19"/>
    <mergeCell ref="I19:J19"/>
    <mergeCell ref="K19:L19"/>
  </mergeCells>
  <printOptions/>
  <pageMargins left="0.7" right="0.7" top="0.75" bottom="0.75" header="0.3" footer="0.3"/>
  <pageSetup fitToHeight="0" fitToWidth="1"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tabColor rgb="FFFF0000"/>
  </sheetPr>
  <dimension ref="B1:J46"/>
  <sheetViews>
    <sheetView tabSelected="1" view="pageBreakPreview" zoomScale="60" zoomScalePageLayoutView="0" workbookViewId="0" topLeftCell="A13">
      <selection activeCell="A88" sqref="A88"/>
    </sheetView>
  </sheetViews>
  <sheetFormatPr defaultColWidth="9.140625" defaultRowHeight="15"/>
  <cols>
    <col min="1" max="1" width="3.28125" style="0" customWidth="1"/>
    <col min="2" max="2" width="33.00390625" style="0" customWidth="1"/>
    <col min="3" max="3" width="50.140625" style="0" customWidth="1"/>
    <col min="4" max="4" width="9.28125" style="0" customWidth="1"/>
    <col min="5" max="5" width="18.140625" style="0" customWidth="1"/>
    <col min="6" max="7" width="15.7109375" style="0" customWidth="1"/>
  </cols>
  <sheetData>
    <row r="1" spans="5:7" ht="15">
      <c r="E1" s="101"/>
      <c r="F1" s="101"/>
      <c r="G1" s="101"/>
    </row>
    <row r="2" spans="2:7" ht="15">
      <c r="B2" s="313" t="s">
        <v>101</v>
      </c>
      <c r="C2" s="314"/>
      <c r="D2" s="315"/>
      <c r="E2" s="316"/>
      <c r="F2" s="316"/>
      <c r="G2" s="316" t="s">
        <v>962</v>
      </c>
    </row>
    <row r="3" spans="2:7" ht="15">
      <c r="B3" s="313" t="s">
        <v>2</v>
      </c>
      <c r="C3" s="314"/>
      <c r="D3" s="315"/>
      <c r="E3" s="316"/>
      <c r="F3" s="316"/>
      <c r="G3" s="316"/>
    </row>
    <row r="4" spans="2:7" ht="15">
      <c r="B4" s="317"/>
      <c r="C4" s="318"/>
      <c r="D4" s="318"/>
      <c r="E4" s="319"/>
      <c r="F4" s="319"/>
      <c r="G4" s="319"/>
    </row>
    <row r="5" spans="2:7" ht="27" customHeight="1">
      <c r="B5" s="886" t="s">
        <v>963</v>
      </c>
      <c r="C5" s="886"/>
      <c r="D5" s="886"/>
      <c r="E5" s="886"/>
      <c r="F5" s="886"/>
      <c r="G5" s="886"/>
    </row>
    <row r="6" spans="2:7" ht="15">
      <c r="B6" s="887" t="s">
        <v>1045</v>
      </c>
      <c r="C6" s="887"/>
      <c r="D6" s="887"/>
      <c r="E6" s="887"/>
      <c r="F6" s="887"/>
      <c r="G6" s="887"/>
    </row>
    <row r="7" spans="2:7" ht="15">
      <c r="B7" s="320"/>
      <c r="C7" s="320"/>
      <c r="D7" s="320"/>
      <c r="E7" s="321"/>
      <c r="F7" s="321"/>
      <c r="G7" s="321"/>
    </row>
    <row r="8" spans="2:7" ht="15.75" thickBot="1">
      <c r="B8" s="322"/>
      <c r="C8" s="320"/>
      <c r="D8" s="320"/>
      <c r="E8" s="321"/>
      <c r="F8" s="321"/>
      <c r="G8" s="321" t="s">
        <v>3</v>
      </c>
    </row>
    <row r="9" spans="2:7" ht="15.75" thickBot="1">
      <c r="B9" s="888" t="s">
        <v>4</v>
      </c>
      <c r="C9" s="889" t="s">
        <v>964</v>
      </c>
      <c r="D9" s="889" t="s">
        <v>965</v>
      </c>
      <c r="E9" s="889" t="s">
        <v>966</v>
      </c>
      <c r="F9" s="889" t="s">
        <v>967</v>
      </c>
      <c r="G9" s="890" t="s">
        <v>968</v>
      </c>
    </row>
    <row r="10" spans="2:7" ht="15.75" thickBot="1">
      <c r="B10" s="888"/>
      <c r="C10" s="889"/>
      <c r="D10" s="889"/>
      <c r="E10" s="889"/>
      <c r="F10" s="889"/>
      <c r="G10" s="890"/>
    </row>
    <row r="11" spans="2:7" ht="15">
      <c r="B11" s="290">
        <v>1</v>
      </c>
      <c r="C11" s="291">
        <v>2</v>
      </c>
      <c r="D11" s="291">
        <v>3</v>
      </c>
      <c r="E11" s="291">
        <v>4</v>
      </c>
      <c r="F11" s="291">
        <v>5</v>
      </c>
      <c r="G11" s="292">
        <v>6</v>
      </c>
    </row>
    <row r="12" spans="2:7" ht="15">
      <c r="B12" s="891" t="s">
        <v>969</v>
      </c>
      <c r="C12" s="892" t="s">
        <v>970</v>
      </c>
      <c r="D12" s="893">
        <v>9108</v>
      </c>
      <c r="E12" s="894">
        <f>E14+E15+E16+E17</f>
        <v>1138</v>
      </c>
      <c r="F12" s="894">
        <f>F14+F15+F16+F17</f>
        <v>1138</v>
      </c>
      <c r="G12" s="894">
        <f>G14+G15+G16+G17</f>
        <v>0</v>
      </c>
    </row>
    <row r="13" spans="2:7" ht="15">
      <c r="B13" s="891"/>
      <c r="C13" s="892"/>
      <c r="D13" s="893"/>
      <c r="E13" s="894"/>
      <c r="F13" s="894"/>
      <c r="G13" s="894"/>
    </row>
    <row r="14" spans="2:7" ht="15">
      <c r="B14" s="293" t="s">
        <v>971</v>
      </c>
      <c r="C14" s="327" t="s">
        <v>972</v>
      </c>
      <c r="D14" s="328">
        <v>9109</v>
      </c>
      <c r="E14" s="329"/>
      <c r="F14" s="329"/>
      <c r="G14" s="330"/>
    </row>
    <row r="15" spans="2:7" ht="24">
      <c r="B15" s="293" t="s">
        <v>973</v>
      </c>
      <c r="C15" s="327" t="s">
        <v>974</v>
      </c>
      <c r="D15" s="328">
        <v>9110</v>
      </c>
      <c r="E15" s="329">
        <v>1138</v>
      </c>
      <c r="F15" s="329">
        <v>1138</v>
      </c>
      <c r="G15" s="330">
        <f>E15-F15</f>
        <v>0</v>
      </c>
    </row>
    <row r="16" spans="2:7" ht="24">
      <c r="B16" s="293" t="s">
        <v>975</v>
      </c>
      <c r="C16" s="327" t="s">
        <v>976</v>
      </c>
      <c r="D16" s="328">
        <v>9111</v>
      </c>
      <c r="E16" s="329"/>
      <c r="F16" s="329"/>
      <c r="G16" s="330"/>
    </row>
    <row r="17" spans="2:7" ht="24">
      <c r="B17" s="293" t="s">
        <v>977</v>
      </c>
      <c r="C17" s="327" t="s">
        <v>978</v>
      </c>
      <c r="D17" s="328">
        <v>9112</v>
      </c>
      <c r="E17" s="329"/>
      <c r="F17" s="329"/>
      <c r="G17" s="330"/>
    </row>
    <row r="18" spans="2:7" ht="24">
      <c r="B18" s="294" t="s">
        <v>979</v>
      </c>
      <c r="C18" s="323" t="s">
        <v>980</v>
      </c>
      <c r="D18" s="324">
        <v>9113</v>
      </c>
      <c r="E18" s="325"/>
      <c r="F18" s="325"/>
      <c r="G18" s="326"/>
    </row>
    <row r="19" spans="2:7" ht="15">
      <c r="B19" s="293" t="s">
        <v>981</v>
      </c>
      <c r="C19" s="327" t="s">
        <v>982</v>
      </c>
      <c r="D19" s="328">
        <v>9114</v>
      </c>
      <c r="E19" s="329"/>
      <c r="F19" s="329"/>
      <c r="G19" s="330"/>
    </row>
    <row r="20" spans="2:7" ht="36">
      <c r="B20" s="293" t="s">
        <v>983</v>
      </c>
      <c r="C20" s="327" t="s">
        <v>984</v>
      </c>
      <c r="D20" s="328">
        <v>9115</v>
      </c>
      <c r="E20" s="329"/>
      <c r="F20" s="329"/>
      <c r="G20" s="330"/>
    </row>
    <row r="21" spans="2:7" ht="24">
      <c r="B21" s="293" t="s">
        <v>985</v>
      </c>
      <c r="C21" s="327" t="s">
        <v>986</v>
      </c>
      <c r="D21" s="328">
        <v>9116</v>
      </c>
      <c r="E21" s="329"/>
      <c r="F21" s="329"/>
      <c r="G21" s="330"/>
    </row>
    <row r="22" spans="2:7" ht="36">
      <c r="B22" s="294" t="s">
        <v>987</v>
      </c>
      <c r="C22" s="323" t="s">
        <v>988</v>
      </c>
      <c r="D22" s="324">
        <v>9117</v>
      </c>
      <c r="E22" s="325">
        <f>E23+E24+E25+E26+E28+E29</f>
        <v>54129</v>
      </c>
      <c r="F22" s="325">
        <f>F23+F24+F25+F26+F28+F29</f>
        <v>0</v>
      </c>
      <c r="G22" s="325">
        <f>G23+G24+G25+G26+G28+G29</f>
        <v>54129</v>
      </c>
    </row>
    <row r="23" spans="2:7" ht="36">
      <c r="B23" s="293" t="s">
        <v>989</v>
      </c>
      <c r="C23" s="327" t="s">
        <v>990</v>
      </c>
      <c r="D23" s="328">
        <v>9118</v>
      </c>
      <c r="E23" s="329"/>
      <c r="F23" s="329"/>
      <c r="G23" s="330"/>
    </row>
    <row r="24" spans="2:7" ht="48">
      <c r="B24" s="293" t="s">
        <v>991</v>
      </c>
      <c r="C24" s="327" t="s">
        <v>992</v>
      </c>
      <c r="D24" s="328">
        <v>9119</v>
      </c>
      <c r="E24" s="329">
        <v>28411</v>
      </c>
      <c r="F24" s="329"/>
      <c r="G24" s="330">
        <f>E24-F24</f>
        <v>28411</v>
      </c>
    </row>
    <row r="25" spans="2:7" ht="48">
      <c r="B25" s="293" t="s">
        <v>991</v>
      </c>
      <c r="C25" s="327" t="s">
        <v>993</v>
      </c>
      <c r="D25" s="331">
        <v>9120</v>
      </c>
      <c r="E25" s="329">
        <v>25718</v>
      </c>
      <c r="F25" s="329"/>
      <c r="G25" s="330">
        <f>E25-F25</f>
        <v>25718</v>
      </c>
    </row>
    <row r="26" spans="2:7" ht="15">
      <c r="B26" s="895" t="s">
        <v>994</v>
      </c>
      <c r="C26" s="896" t="s">
        <v>995</v>
      </c>
      <c r="D26" s="897">
        <v>9121</v>
      </c>
      <c r="E26" s="898"/>
      <c r="F26" s="898"/>
      <c r="G26" s="899"/>
    </row>
    <row r="27" spans="2:7" ht="24.75" customHeight="1">
      <c r="B27" s="895"/>
      <c r="C27" s="896"/>
      <c r="D27" s="897"/>
      <c r="E27" s="898"/>
      <c r="F27" s="898"/>
      <c r="G27" s="899"/>
    </row>
    <row r="28" spans="2:7" ht="48">
      <c r="B28" s="293" t="s">
        <v>994</v>
      </c>
      <c r="C28" s="327" t="s">
        <v>996</v>
      </c>
      <c r="D28" s="331">
        <v>9122</v>
      </c>
      <c r="E28" s="329"/>
      <c r="F28" s="329"/>
      <c r="G28" s="330"/>
    </row>
    <row r="29" spans="2:7" ht="48">
      <c r="B29" s="293" t="s">
        <v>991</v>
      </c>
      <c r="C29" s="333" t="s">
        <v>997</v>
      </c>
      <c r="D29" s="328">
        <v>9123</v>
      </c>
      <c r="E29" s="329"/>
      <c r="F29" s="329"/>
      <c r="G29" s="330"/>
    </row>
    <row r="30" spans="2:7" ht="24">
      <c r="B30" s="294" t="s">
        <v>998</v>
      </c>
      <c r="C30" s="323" t="s">
        <v>999</v>
      </c>
      <c r="D30" s="334">
        <v>9124</v>
      </c>
      <c r="E30" s="325">
        <f>E31+E32+E33+E35+E36+E37</f>
        <v>123773</v>
      </c>
      <c r="F30" s="325">
        <f>F31+F32+F33+F35+F36+F37</f>
        <v>123301</v>
      </c>
      <c r="G30" s="325">
        <f>G31+G32+G33+G35+G36+G37</f>
        <v>472</v>
      </c>
    </row>
    <row r="31" spans="2:10" ht="24">
      <c r="B31" s="293" t="s">
        <v>1000</v>
      </c>
      <c r="C31" s="327" t="s">
        <v>1001</v>
      </c>
      <c r="D31" s="328">
        <v>9125</v>
      </c>
      <c r="E31" s="461">
        <v>503</v>
      </c>
      <c r="F31" s="329">
        <v>118</v>
      </c>
      <c r="G31" s="330">
        <f>E31-F31</f>
        <v>385</v>
      </c>
      <c r="H31" s="451"/>
      <c r="I31" s="452"/>
      <c r="J31" s="452"/>
    </row>
    <row r="32" spans="2:10" ht="24">
      <c r="B32" s="293" t="s">
        <v>1002</v>
      </c>
      <c r="C32" s="332" t="s">
        <v>1003</v>
      </c>
      <c r="D32" s="328">
        <v>9126</v>
      </c>
      <c r="E32" s="329"/>
      <c r="F32" s="329"/>
      <c r="G32" s="330"/>
      <c r="H32" s="414"/>
      <c r="J32" s="414"/>
    </row>
    <row r="33" spans="2:8" ht="15">
      <c r="B33" s="895" t="s">
        <v>1002</v>
      </c>
      <c r="C33" s="896" t="s">
        <v>1004</v>
      </c>
      <c r="D33" s="897">
        <v>9127</v>
      </c>
      <c r="E33" s="898"/>
      <c r="F33" s="898"/>
      <c r="G33" s="899"/>
      <c r="H33" s="414"/>
    </row>
    <row r="34" spans="2:10" ht="15">
      <c r="B34" s="895"/>
      <c r="C34" s="896"/>
      <c r="D34" s="897"/>
      <c r="E34" s="898"/>
      <c r="F34" s="898"/>
      <c r="G34" s="899"/>
      <c r="H34" s="414"/>
      <c r="J34" s="414"/>
    </row>
    <row r="35" spans="2:10" ht="24">
      <c r="B35" s="293" t="s">
        <v>1005</v>
      </c>
      <c r="C35" s="327" t="s">
        <v>1006</v>
      </c>
      <c r="D35" s="328">
        <v>9128</v>
      </c>
      <c r="E35" s="329">
        <v>87</v>
      </c>
      <c r="F35" s="329">
        <v>0</v>
      </c>
      <c r="G35" s="330">
        <v>87</v>
      </c>
      <c r="J35" s="414"/>
    </row>
    <row r="36" spans="2:8" ht="24">
      <c r="B36" s="293" t="s">
        <v>1007</v>
      </c>
      <c r="C36" s="327" t="s">
        <v>1008</v>
      </c>
      <c r="D36" s="328">
        <v>9129</v>
      </c>
      <c r="E36" s="329"/>
      <c r="F36" s="329"/>
      <c r="G36" s="330"/>
      <c r="H36" s="414"/>
    </row>
    <row r="37" spans="2:10" ht="36.75" thickBot="1">
      <c r="B37" s="295" t="s">
        <v>1009</v>
      </c>
      <c r="C37" s="335" t="s">
        <v>1010</v>
      </c>
      <c r="D37" s="336">
        <v>9130</v>
      </c>
      <c r="E37" s="337">
        <v>123183</v>
      </c>
      <c r="F37" s="337">
        <v>123183</v>
      </c>
      <c r="G37" s="338">
        <f>E37-F37</f>
        <v>0</v>
      </c>
      <c r="J37" s="414"/>
    </row>
    <row r="38" spans="2:7" ht="15">
      <c r="B38" s="320"/>
      <c r="C38" s="320"/>
      <c r="D38" s="320"/>
      <c r="E38" s="321"/>
      <c r="F38" s="321"/>
      <c r="G38" s="321"/>
    </row>
    <row r="39" spans="2:7" ht="15">
      <c r="B39" s="339" t="s">
        <v>1452</v>
      </c>
      <c r="C39" s="318"/>
      <c r="D39" s="318"/>
      <c r="E39" s="319" t="s">
        <v>1011</v>
      </c>
      <c r="F39" s="319"/>
      <c r="G39" s="319"/>
    </row>
    <row r="40" spans="2:7" ht="15">
      <c r="B40" s="318"/>
      <c r="C40" s="319" t="s">
        <v>1012</v>
      </c>
      <c r="D40" s="320"/>
      <c r="E40" s="319"/>
      <c r="F40" s="321"/>
      <c r="G40" s="319"/>
    </row>
    <row r="41" spans="2:7" ht="17.25" customHeight="1">
      <c r="B41" s="318"/>
      <c r="C41" s="319"/>
      <c r="D41" s="320"/>
      <c r="E41" s="319"/>
      <c r="F41" s="321"/>
      <c r="G41" s="319"/>
    </row>
    <row r="42" spans="2:7" ht="52.5" customHeight="1">
      <c r="B42" s="900" t="s">
        <v>1013</v>
      </c>
      <c r="C42" s="900"/>
      <c r="D42" s="900"/>
      <c r="E42" s="900"/>
      <c r="F42" s="900"/>
      <c r="G42" s="900"/>
    </row>
    <row r="43" spans="2:7" ht="36.75" customHeight="1">
      <c r="B43" s="900"/>
      <c r="C43" s="900"/>
      <c r="D43" s="900"/>
      <c r="E43" s="900"/>
      <c r="F43" s="900"/>
      <c r="G43" s="900"/>
    </row>
    <row r="44" spans="2:7" ht="15">
      <c r="B44" s="296"/>
      <c r="C44" s="296"/>
      <c r="D44" s="296"/>
      <c r="E44" s="297"/>
      <c r="F44" s="297"/>
      <c r="G44" s="297"/>
    </row>
    <row r="45" spans="2:7" ht="15">
      <c r="B45" s="296"/>
      <c r="C45" s="296"/>
      <c r="D45" s="296"/>
      <c r="E45" s="297"/>
      <c r="F45" s="297"/>
      <c r="G45" s="297"/>
    </row>
    <row r="46" spans="2:7" ht="15">
      <c r="B46" s="296"/>
      <c r="C46" s="296"/>
      <c r="D46" s="296"/>
      <c r="E46" s="297"/>
      <c r="F46" s="297"/>
      <c r="G46" s="297"/>
    </row>
  </sheetData>
  <sheetProtection/>
  <mergeCells count="27">
    <mergeCell ref="B42:G43"/>
    <mergeCell ref="B33:B34"/>
    <mergeCell ref="C33:C34"/>
    <mergeCell ref="D33:D34"/>
    <mergeCell ref="E33:E34"/>
    <mergeCell ref="F33:F34"/>
    <mergeCell ref="G33:G34"/>
    <mergeCell ref="B26:B27"/>
    <mergeCell ref="C26:C27"/>
    <mergeCell ref="D26:D27"/>
    <mergeCell ref="E26:E27"/>
    <mergeCell ref="F26:F27"/>
    <mergeCell ref="G26:G27"/>
    <mergeCell ref="B12:B13"/>
    <mergeCell ref="C12:C13"/>
    <mergeCell ref="D12:D13"/>
    <mergeCell ref="E12:E13"/>
    <mergeCell ref="F12:F13"/>
    <mergeCell ref="G12:G13"/>
    <mergeCell ref="B5:G5"/>
    <mergeCell ref="B6:G6"/>
    <mergeCell ref="B9:B10"/>
    <mergeCell ref="C9:C10"/>
    <mergeCell ref="D9:D10"/>
    <mergeCell ref="E9:E10"/>
    <mergeCell ref="F9:F10"/>
    <mergeCell ref="G9:G10"/>
  </mergeCells>
  <printOptions/>
  <pageMargins left="0.7" right="0.7" top="0.75" bottom="0.75" header="0.3" footer="0.3"/>
  <pageSetup fitToHeight="0"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K155"/>
  <sheetViews>
    <sheetView tabSelected="1" view="pageBreakPreview" zoomScale="60" zoomScaleNormal="90" workbookViewId="0" topLeftCell="A44">
      <selection activeCell="A88" sqref="A88"/>
    </sheetView>
  </sheetViews>
  <sheetFormatPr defaultColWidth="9.140625" defaultRowHeight="15"/>
  <cols>
    <col min="1" max="1" width="25.7109375" style="0" customWidth="1"/>
    <col min="2" max="2" width="95.57421875" style="0" customWidth="1"/>
    <col min="3" max="3" width="9.7109375" style="0" customWidth="1"/>
    <col min="4" max="5" width="20.7109375" style="350" customWidth="1"/>
    <col min="6" max="6" width="26.140625" style="350" customWidth="1"/>
    <col min="7" max="8" width="20.7109375" style="350" customWidth="1"/>
  </cols>
  <sheetData>
    <row r="1" spans="1:8" ht="18.75">
      <c r="A1" s="52" t="s">
        <v>101</v>
      </c>
      <c r="B1" s="53"/>
      <c r="C1" s="53"/>
      <c r="D1" s="2"/>
      <c r="E1" s="2"/>
      <c r="F1" s="2"/>
      <c r="G1" s="2"/>
      <c r="H1" s="2"/>
    </row>
    <row r="2" spans="1:8" ht="18.75">
      <c r="A2" s="52" t="s">
        <v>2</v>
      </c>
      <c r="B2" s="53"/>
      <c r="C2" s="53"/>
      <c r="D2" s="2"/>
      <c r="E2" s="2"/>
      <c r="F2" s="2"/>
      <c r="G2" s="2"/>
      <c r="H2" s="2" t="s">
        <v>102</v>
      </c>
    </row>
    <row r="3" spans="1:8" ht="15.75">
      <c r="A3" s="53"/>
      <c r="B3" s="53"/>
      <c r="C3" s="53"/>
      <c r="D3" s="357"/>
      <c r="E3" s="357"/>
      <c r="F3" s="357"/>
      <c r="G3" s="358"/>
      <c r="H3" s="358"/>
    </row>
    <row r="4" spans="1:8" ht="27">
      <c r="A4" s="811" t="s">
        <v>1053</v>
      </c>
      <c r="B4" s="811"/>
      <c r="C4" s="811"/>
      <c r="D4" s="811"/>
      <c r="E4" s="811"/>
      <c r="F4" s="811"/>
      <c r="G4" s="811"/>
      <c r="H4" s="811"/>
    </row>
    <row r="5" spans="1:8" ht="16.5" thickBot="1">
      <c r="A5" s="55"/>
      <c r="B5" s="56"/>
      <c r="C5" s="56"/>
      <c r="D5" s="56"/>
      <c r="E5" s="56"/>
      <c r="F5" s="56"/>
      <c r="G5" s="358"/>
      <c r="H5" s="359" t="s">
        <v>3</v>
      </c>
    </row>
    <row r="6" spans="1:8" ht="16.5" thickBot="1">
      <c r="A6" s="812" t="s">
        <v>4</v>
      </c>
      <c r="B6" s="813" t="s">
        <v>103</v>
      </c>
      <c r="C6" s="813" t="s">
        <v>104</v>
      </c>
      <c r="D6" s="814" t="s">
        <v>1033</v>
      </c>
      <c r="E6" s="808" t="s">
        <v>1034</v>
      </c>
      <c r="F6" s="815" t="s">
        <v>1045</v>
      </c>
      <c r="G6" s="815"/>
      <c r="H6" s="816" t="s">
        <v>1052</v>
      </c>
    </row>
    <row r="7" spans="1:8" ht="43.5" customHeight="1" thickBot="1">
      <c r="A7" s="812"/>
      <c r="B7" s="813"/>
      <c r="C7" s="813"/>
      <c r="D7" s="814"/>
      <c r="E7" s="808"/>
      <c r="F7" s="298" t="s">
        <v>1030</v>
      </c>
      <c r="G7" s="298" t="s">
        <v>105</v>
      </c>
      <c r="H7" s="816"/>
    </row>
    <row r="8" spans="1:8" ht="18.75">
      <c r="A8" s="57"/>
      <c r="B8" s="58" t="s">
        <v>106</v>
      </c>
      <c r="C8" s="59"/>
      <c r="D8" s="360"/>
      <c r="E8" s="360"/>
      <c r="F8" s="360" t="s">
        <v>1028</v>
      </c>
      <c r="G8" s="361"/>
      <c r="H8" s="362"/>
    </row>
    <row r="9" spans="1:8" ht="18.75">
      <c r="A9" s="60">
        <v>0</v>
      </c>
      <c r="B9" s="61" t="s">
        <v>107</v>
      </c>
      <c r="C9" s="62" t="s">
        <v>108</v>
      </c>
      <c r="D9" s="20"/>
      <c r="E9" s="20"/>
      <c r="F9" s="20"/>
      <c r="G9" s="363"/>
      <c r="H9" s="364"/>
    </row>
    <row r="10" spans="1:8" ht="18.75">
      <c r="A10" s="60"/>
      <c r="B10" s="61" t="s">
        <v>109</v>
      </c>
      <c r="C10" s="62" t="s">
        <v>110</v>
      </c>
      <c r="D10" s="368">
        <f>D11+D18+D27+D32+D42</f>
        <v>389979</v>
      </c>
      <c r="E10" s="368">
        <f>E11+E18+E27+E32+E42</f>
        <v>314516</v>
      </c>
      <c r="F10" s="368">
        <f>F11+F18+F27+F32+F42</f>
        <v>319723</v>
      </c>
      <c r="G10" s="368">
        <f>G11+G18+G27+G32+G42</f>
        <v>398974</v>
      </c>
      <c r="H10" s="369">
        <f>G10/F10</f>
        <v>1.2478739408800743</v>
      </c>
    </row>
    <row r="11" spans="1:8" ht="18.75">
      <c r="A11" s="60">
        <v>1</v>
      </c>
      <c r="B11" s="61" t="s">
        <v>111</v>
      </c>
      <c r="C11" s="62" t="s">
        <v>112</v>
      </c>
      <c r="D11" s="370">
        <f>D12+D13+D14+D15+D16+D17</f>
        <v>1058</v>
      </c>
      <c r="E11" s="370">
        <f>E12+E13+E14+E15+E16+E17</f>
        <v>1171</v>
      </c>
      <c r="F11" s="370">
        <f>F12+F13+F14+F15+F16+F17</f>
        <v>1171</v>
      </c>
      <c r="G11" s="370">
        <f>G12+G13+G14+G15+G16+G17</f>
        <v>1247</v>
      </c>
      <c r="H11" s="369">
        <f>G11/F11</f>
        <v>1.0649017933390266</v>
      </c>
    </row>
    <row r="12" spans="1:8" ht="18.75">
      <c r="A12" s="60" t="s">
        <v>113</v>
      </c>
      <c r="B12" s="63" t="s">
        <v>114</v>
      </c>
      <c r="C12" s="62" t="s">
        <v>115</v>
      </c>
      <c r="D12" s="20"/>
      <c r="E12" s="20"/>
      <c r="F12" s="410"/>
      <c r="G12" s="365"/>
      <c r="H12" s="369"/>
    </row>
    <row r="13" spans="1:8" ht="37.5">
      <c r="A13" s="60" t="s">
        <v>116</v>
      </c>
      <c r="B13" s="63" t="s">
        <v>117</v>
      </c>
      <c r="C13" s="62" t="s">
        <v>118</v>
      </c>
      <c r="D13" s="20">
        <v>1058</v>
      </c>
      <c r="E13" s="20">
        <v>1171</v>
      </c>
      <c r="F13" s="410">
        <v>1171</v>
      </c>
      <c r="G13" s="463">
        <v>1247</v>
      </c>
      <c r="H13" s="369">
        <f>G13/F13</f>
        <v>1.0649017933390266</v>
      </c>
    </row>
    <row r="14" spans="1:8" ht="18.75">
      <c r="A14" s="60" t="s">
        <v>119</v>
      </c>
      <c r="B14" s="63" t="s">
        <v>120</v>
      </c>
      <c r="C14" s="62" t="s">
        <v>121</v>
      </c>
      <c r="D14" s="20"/>
      <c r="E14" s="20"/>
      <c r="F14" s="410"/>
      <c r="G14" s="365"/>
      <c r="H14" s="369"/>
    </row>
    <row r="15" spans="1:8" ht="18.75">
      <c r="A15" s="64" t="s">
        <v>122</v>
      </c>
      <c r="B15" s="63" t="s">
        <v>123</v>
      </c>
      <c r="C15" s="62" t="s">
        <v>124</v>
      </c>
      <c r="D15" s="20"/>
      <c r="E15" s="20"/>
      <c r="F15" s="410"/>
      <c r="G15" s="365"/>
      <c r="H15" s="369"/>
    </row>
    <row r="16" spans="1:8" ht="18.75">
      <c r="A16" s="64" t="s">
        <v>125</v>
      </c>
      <c r="B16" s="63" t="s">
        <v>126</v>
      </c>
      <c r="C16" s="62" t="s">
        <v>127</v>
      </c>
      <c r="D16" s="20"/>
      <c r="E16" s="20"/>
      <c r="F16" s="410"/>
      <c r="G16" s="365"/>
      <c r="H16" s="369"/>
    </row>
    <row r="17" spans="1:8" ht="18.75">
      <c r="A17" s="64" t="s">
        <v>128</v>
      </c>
      <c r="B17" s="63" t="s">
        <v>129</v>
      </c>
      <c r="C17" s="62" t="s">
        <v>130</v>
      </c>
      <c r="D17" s="20"/>
      <c r="E17" s="20"/>
      <c r="F17" s="410"/>
      <c r="G17" s="363"/>
      <c r="H17" s="369"/>
    </row>
    <row r="18" spans="1:8" ht="37.5">
      <c r="A18" s="65">
        <v>2</v>
      </c>
      <c r="B18" s="61" t="s">
        <v>131</v>
      </c>
      <c r="C18" s="62" t="s">
        <v>132</v>
      </c>
      <c r="D18" s="368">
        <f>D19+D20+D21+D22+D23+D24+D25+D26</f>
        <v>374637</v>
      </c>
      <c r="E18" s="368">
        <f>E19+E20+E21+E22+E23+E24+E25+E26</f>
        <v>299061</v>
      </c>
      <c r="F18" s="368">
        <f>F19+F20+F21+F22+F23+F24+F25+F26</f>
        <v>304268</v>
      </c>
      <c r="G18" s="368">
        <f>G19+G20+G21+G22+G23+G24+G25+G26</f>
        <v>383443</v>
      </c>
      <c r="H18" s="369">
        <f>G18/F18</f>
        <v>1.2602146791644209</v>
      </c>
    </row>
    <row r="19" spans="1:8" ht="18.75">
      <c r="A19" s="60" t="s">
        <v>133</v>
      </c>
      <c r="B19" s="63" t="s">
        <v>134</v>
      </c>
      <c r="C19" s="62" t="s">
        <v>135</v>
      </c>
      <c r="D19" s="20">
        <v>65196</v>
      </c>
      <c r="E19" s="20">
        <v>65196</v>
      </c>
      <c r="F19" s="410">
        <v>65196</v>
      </c>
      <c r="G19" s="365">
        <v>65196</v>
      </c>
      <c r="H19" s="369">
        <f>G19/F19</f>
        <v>1</v>
      </c>
    </row>
    <row r="20" spans="1:8" ht="18.75">
      <c r="A20" s="64" t="s">
        <v>136</v>
      </c>
      <c r="B20" s="63" t="s">
        <v>137</v>
      </c>
      <c r="C20" s="62" t="s">
        <v>138</v>
      </c>
      <c r="D20" s="20">
        <v>82632</v>
      </c>
      <c r="E20" s="20">
        <v>82743</v>
      </c>
      <c r="F20" s="410">
        <v>82743</v>
      </c>
      <c r="G20" s="463">
        <v>82632</v>
      </c>
      <c r="H20" s="369">
        <f>G20/F20</f>
        <v>0.9986584967912694</v>
      </c>
    </row>
    <row r="21" spans="1:8" ht="18.75">
      <c r="A21" s="60" t="s">
        <v>139</v>
      </c>
      <c r="B21" s="63" t="s">
        <v>140</v>
      </c>
      <c r="C21" s="62" t="s">
        <v>141</v>
      </c>
      <c r="D21" s="20">
        <v>149690</v>
      </c>
      <c r="E21" s="20">
        <v>151122</v>
      </c>
      <c r="F21" s="410">
        <v>156329</v>
      </c>
      <c r="G21" s="497">
        <v>150185</v>
      </c>
      <c r="H21" s="369">
        <f>G21/F21</f>
        <v>0.9606982709542056</v>
      </c>
    </row>
    <row r="22" spans="1:8" ht="18.75">
      <c r="A22" s="60" t="s">
        <v>142</v>
      </c>
      <c r="B22" s="63" t="s">
        <v>143</v>
      </c>
      <c r="C22" s="62" t="s">
        <v>144</v>
      </c>
      <c r="D22" s="20"/>
      <c r="E22" s="20"/>
      <c r="F22" s="410"/>
      <c r="G22" s="365"/>
      <c r="H22" s="369"/>
    </row>
    <row r="23" spans="1:8" ht="18.75">
      <c r="A23" s="60" t="s">
        <v>145</v>
      </c>
      <c r="B23" s="63" t="s">
        <v>146</v>
      </c>
      <c r="C23" s="62" t="s">
        <v>147</v>
      </c>
      <c r="D23" s="20"/>
      <c r="E23" s="20"/>
      <c r="F23" s="410"/>
      <c r="G23" s="363"/>
      <c r="H23" s="369"/>
    </row>
    <row r="24" spans="1:8" ht="18.75">
      <c r="A24" s="60" t="s">
        <v>148</v>
      </c>
      <c r="B24" s="63" t="s">
        <v>149</v>
      </c>
      <c r="C24" s="62" t="s">
        <v>150</v>
      </c>
      <c r="D24" s="20">
        <v>77119</v>
      </c>
      <c r="E24" s="20">
        <v>0</v>
      </c>
      <c r="F24" s="410">
        <v>0</v>
      </c>
      <c r="G24" s="365">
        <v>85430</v>
      </c>
      <c r="H24" s="369"/>
    </row>
    <row r="25" spans="1:8" ht="18.75">
      <c r="A25" s="60" t="s">
        <v>151</v>
      </c>
      <c r="B25" s="63" t="s">
        <v>152</v>
      </c>
      <c r="C25" s="62" t="s">
        <v>153</v>
      </c>
      <c r="D25" s="20"/>
      <c r="E25" s="20"/>
      <c r="F25" s="410"/>
      <c r="G25" s="365"/>
      <c r="H25" s="369"/>
    </row>
    <row r="26" spans="1:8" ht="18.75">
      <c r="A26" s="60" t="s">
        <v>154</v>
      </c>
      <c r="B26" s="63" t="s">
        <v>155</v>
      </c>
      <c r="C26" s="62" t="s">
        <v>156</v>
      </c>
      <c r="D26" s="20"/>
      <c r="E26" s="20"/>
      <c r="F26" s="410"/>
      <c r="G26" s="365"/>
      <c r="H26" s="369"/>
    </row>
    <row r="27" spans="1:8" ht="18.75">
      <c r="A27" s="65">
        <v>3</v>
      </c>
      <c r="B27" s="61" t="s">
        <v>157</v>
      </c>
      <c r="C27" s="62" t="s">
        <v>158</v>
      </c>
      <c r="D27" s="20"/>
      <c r="E27" s="20"/>
      <c r="F27" s="410"/>
      <c r="G27" s="365"/>
      <c r="H27" s="369"/>
    </row>
    <row r="28" spans="1:8" ht="18.75">
      <c r="A28" s="60" t="s">
        <v>159</v>
      </c>
      <c r="B28" s="63" t="s">
        <v>160</v>
      </c>
      <c r="C28" s="62" t="s">
        <v>161</v>
      </c>
      <c r="D28" s="20"/>
      <c r="E28" s="20"/>
      <c r="F28" s="410"/>
      <c r="G28" s="365"/>
      <c r="H28" s="369"/>
    </row>
    <row r="29" spans="1:8" ht="18.75">
      <c r="A29" s="64" t="s">
        <v>162</v>
      </c>
      <c r="B29" s="63" t="s">
        <v>163</v>
      </c>
      <c r="C29" s="62" t="s">
        <v>164</v>
      </c>
      <c r="D29" s="20"/>
      <c r="E29" s="20"/>
      <c r="F29" s="410"/>
      <c r="G29" s="365"/>
      <c r="H29" s="369"/>
    </row>
    <row r="30" spans="1:8" ht="18.75">
      <c r="A30" s="64" t="s">
        <v>165</v>
      </c>
      <c r="B30" s="63" t="s">
        <v>166</v>
      </c>
      <c r="C30" s="62" t="s">
        <v>167</v>
      </c>
      <c r="D30" s="20"/>
      <c r="E30" s="20"/>
      <c r="F30" s="410"/>
      <c r="G30" s="363"/>
      <c r="H30" s="369"/>
    </row>
    <row r="31" spans="1:8" ht="18.75">
      <c r="A31" s="64" t="s">
        <v>168</v>
      </c>
      <c r="B31" s="63" t="s">
        <v>169</v>
      </c>
      <c r="C31" s="62" t="s">
        <v>170</v>
      </c>
      <c r="D31" s="20"/>
      <c r="E31" s="20"/>
      <c r="F31" s="410"/>
      <c r="G31" s="365"/>
      <c r="H31" s="369"/>
    </row>
    <row r="32" spans="1:8" ht="37.5">
      <c r="A32" s="66" t="s">
        <v>171</v>
      </c>
      <c r="B32" s="61" t="s">
        <v>172</v>
      </c>
      <c r="C32" s="62" t="s">
        <v>173</v>
      </c>
      <c r="D32" s="409">
        <f>D33+D34+D35+D36+D37+D38+D39+D40+D41</f>
        <v>14284</v>
      </c>
      <c r="E32" s="409">
        <f>E33+E34+E35+E36+E37+E38+E39+E40+E41</f>
        <v>14284</v>
      </c>
      <c r="F32" s="409">
        <f>F33+F34+F35+F36+F37+F38+F39+F40+F41</f>
        <v>14284</v>
      </c>
      <c r="G32" s="370">
        <f>G33+G34+G35+G36+G37+G38+G39+G40+G41</f>
        <v>14284</v>
      </c>
      <c r="H32" s="369">
        <f>G32/F32</f>
        <v>1</v>
      </c>
    </row>
    <row r="33" spans="1:8" ht="18.75">
      <c r="A33" s="64" t="s">
        <v>174</v>
      </c>
      <c r="B33" s="63" t="s">
        <v>175</v>
      </c>
      <c r="C33" s="62" t="s">
        <v>176</v>
      </c>
      <c r="D33" s="20"/>
      <c r="E33" s="20"/>
      <c r="F33" s="410"/>
      <c r="G33" s="365"/>
      <c r="H33" s="369"/>
    </row>
    <row r="34" spans="1:8" ht="18.75">
      <c r="A34" s="64" t="s">
        <v>177</v>
      </c>
      <c r="B34" s="63" t="s">
        <v>178</v>
      </c>
      <c r="C34" s="62" t="s">
        <v>179</v>
      </c>
      <c r="D34" s="20"/>
      <c r="E34" s="20"/>
      <c r="F34" s="410"/>
      <c r="G34" s="363"/>
      <c r="H34" s="369"/>
    </row>
    <row r="35" spans="1:8" ht="37.5">
      <c r="A35" s="64" t="s">
        <v>180</v>
      </c>
      <c r="B35" s="63" t="s">
        <v>181</v>
      </c>
      <c r="C35" s="62" t="s">
        <v>182</v>
      </c>
      <c r="D35" s="20">
        <v>14284</v>
      </c>
      <c r="E35" s="20">
        <v>14284</v>
      </c>
      <c r="F35" s="410">
        <v>14284</v>
      </c>
      <c r="G35" s="363">
        <v>14284</v>
      </c>
      <c r="H35" s="369">
        <f>G35/F35</f>
        <v>1</v>
      </c>
    </row>
    <row r="36" spans="1:8" ht="37.5">
      <c r="A36" s="64" t="s">
        <v>183</v>
      </c>
      <c r="B36" s="63" t="s">
        <v>184</v>
      </c>
      <c r="C36" s="62" t="s">
        <v>185</v>
      </c>
      <c r="D36" s="20"/>
      <c r="E36" s="20"/>
      <c r="F36" s="410"/>
      <c r="G36" s="365"/>
      <c r="H36" s="369"/>
    </row>
    <row r="37" spans="1:8" ht="37.5">
      <c r="A37" s="64" t="s">
        <v>183</v>
      </c>
      <c r="B37" s="63" t="s">
        <v>186</v>
      </c>
      <c r="C37" s="62" t="s">
        <v>187</v>
      </c>
      <c r="D37" s="20"/>
      <c r="E37" s="20"/>
      <c r="F37" s="410"/>
      <c r="G37" s="365"/>
      <c r="H37" s="369"/>
    </row>
    <row r="38" spans="1:8" ht="18.75">
      <c r="A38" s="64" t="s">
        <v>188</v>
      </c>
      <c r="B38" s="63" t="s">
        <v>189</v>
      </c>
      <c r="C38" s="62" t="s">
        <v>190</v>
      </c>
      <c r="D38" s="20"/>
      <c r="E38" s="20"/>
      <c r="F38" s="410"/>
      <c r="G38" s="365"/>
      <c r="H38" s="369"/>
    </row>
    <row r="39" spans="1:8" ht="18.75">
      <c r="A39" s="64" t="s">
        <v>188</v>
      </c>
      <c r="B39" s="63" t="s">
        <v>191</v>
      </c>
      <c r="C39" s="62" t="s">
        <v>192</v>
      </c>
      <c r="D39" s="20"/>
      <c r="E39" s="20"/>
      <c r="F39" s="410"/>
      <c r="G39" s="365"/>
      <c r="H39" s="369"/>
    </row>
    <row r="40" spans="1:8" ht="18.75">
      <c r="A40" s="64" t="s">
        <v>193</v>
      </c>
      <c r="B40" s="63" t="s">
        <v>194</v>
      </c>
      <c r="C40" s="62" t="s">
        <v>195</v>
      </c>
      <c r="D40" s="20"/>
      <c r="E40" s="20"/>
      <c r="F40" s="410"/>
      <c r="G40" s="365"/>
      <c r="H40" s="369"/>
    </row>
    <row r="41" spans="1:8" ht="18.75">
      <c r="A41" s="64" t="s">
        <v>196</v>
      </c>
      <c r="B41" s="63" t="s">
        <v>197</v>
      </c>
      <c r="C41" s="62" t="s">
        <v>198</v>
      </c>
      <c r="D41" s="20"/>
      <c r="E41" s="20"/>
      <c r="F41" s="410"/>
      <c r="G41" s="365"/>
      <c r="H41" s="369"/>
    </row>
    <row r="42" spans="1:8" ht="37.5">
      <c r="A42" s="66">
        <v>5</v>
      </c>
      <c r="B42" s="61" t="s">
        <v>199</v>
      </c>
      <c r="C42" s="62" t="s">
        <v>200</v>
      </c>
      <c r="D42" s="365">
        <f>D43+D44+D45+D46+D47+D48+D49</f>
        <v>0</v>
      </c>
      <c r="E42" s="365">
        <f>E43+E44+E45+E46+E47+E48+E49</f>
        <v>0</v>
      </c>
      <c r="F42" s="365">
        <f>F43+F44+F45+F46+F47+F48+F49</f>
        <v>0</v>
      </c>
      <c r="G42" s="365">
        <f>G43+G44+G45+G46+G47+G48+G49</f>
        <v>0</v>
      </c>
      <c r="H42" s="369"/>
    </row>
    <row r="43" spans="1:8" ht="18.75">
      <c r="A43" s="64" t="s">
        <v>201</v>
      </c>
      <c r="B43" s="63" t="s">
        <v>202</v>
      </c>
      <c r="C43" s="62" t="s">
        <v>203</v>
      </c>
      <c r="D43" s="20"/>
      <c r="E43" s="20"/>
      <c r="F43" s="410"/>
      <c r="G43" s="365"/>
      <c r="H43" s="369"/>
    </row>
    <row r="44" spans="1:8" ht="18.75">
      <c r="A44" s="64" t="s">
        <v>204</v>
      </c>
      <c r="B44" s="63" t="s">
        <v>205</v>
      </c>
      <c r="C44" s="62" t="s">
        <v>206</v>
      </c>
      <c r="D44" s="20"/>
      <c r="E44" s="20"/>
      <c r="F44" s="410"/>
      <c r="G44" s="365"/>
      <c r="H44" s="369"/>
    </row>
    <row r="45" spans="1:8" ht="18.75">
      <c r="A45" s="64" t="s">
        <v>207</v>
      </c>
      <c r="B45" s="63" t="s">
        <v>208</v>
      </c>
      <c r="C45" s="62" t="s">
        <v>209</v>
      </c>
      <c r="D45" s="20"/>
      <c r="E45" s="20"/>
      <c r="F45" s="410"/>
      <c r="G45" s="363"/>
      <c r="H45" s="369"/>
    </row>
    <row r="46" spans="1:8" ht="18.75">
      <c r="A46" s="64" t="s">
        <v>210</v>
      </c>
      <c r="B46" s="63" t="s">
        <v>211</v>
      </c>
      <c r="C46" s="62" t="s">
        <v>212</v>
      </c>
      <c r="D46" s="20"/>
      <c r="E46" s="20"/>
      <c r="F46" s="410"/>
      <c r="G46" s="365"/>
      <c r="H46" s="369"/>
    </row>
    <row r="47" spans="1:8" ht="18.75">
      <c r="A47" s="64" t="s">
        <v>213</v>
      </c>
      <c r="B47" s="63" t="s">
        <v>214</v>
      </c>
      <c r="C47" s="62" t="s">
        <v>215</v>
      </c>
      <c r="D47" s="20"/>
      <c r="E47" s="20"/>
      <c r="F47" s="410"/>
      <c r="G47" s="363"/>
      <c r="H47" s="369"/>
    </row>
    <row r="48" spans="1:8" ht="18.75">
      <c r="A48" s="64" t="s">
        <v>216</v>
      </c>
      <c r="B48" s="63" t="s">
        <v>217</v>
      </c>
      <c r="C48" s="62" t="s">
        <v>218</v>
      </c>
      <c r="D48" s="20"/>
      <c r="E48" s="20"/>
      <c r="F48" s="410"/>
      <c r="G48" s="365"/>
      <c r="H48" s="369"/>
    </row>
    <row r="49" spans="1:8" ht="18.75">
      <c r="A49" s="64" t="s">
        <v>219</v>
      </c>
      <c r="B49" s="63" t="s">
        <v>220</v>
      </c>
      <c r="C49" s="62" t="s">
        <v>221</v>
      </c>
      <c r="D49" s="20"/>
      <c r="E49" s="20"/>
      <c r="F49" s="410"/>
      <c r="G49" s="365"/>
      <c r="H49" s="369"/>
    </row>
    <row r="50" spans="1:8" ht="18.75">
      <c r="A50" s="66">
        <v>288</v>
      </c>
      <c r="B50" s="61" t="s">
        <v>222</v>
      </c>
      <c r="C50" s="62" t="s">
        <v>223</v>
      </c>
      <c r="D50" s="20">
        <v>6438</v>
      </c>
      <c r="E50" s="20"/>
      <c r="F50" s="410"/>
      <c r="G50" s="363">
        <v>6438</v>
      </c>
      <c r="H50" s="369"/>
    </row>
    <row r="51" spans="1:9" ht="37.5">
      <c r="A51" s="66"/>
      <c r="B51" s="61" t="s">
        <v>224</v>
      </c>
      <c r="C51" s="62" t="s">
        <v>225</v>
      </c>
      <c r="D51" s="368">
        <f>D52+D59+D67+D68+D69+D70+D76+D77+D78</f>
        <v>141207</v>
      </c>
      <c r="E51" s="368">
        <f>E52+E59+E67+E68+E69+E70+E76+E77+E78</f>
        <v>102390</v>
      </c>
      <c r="F51" s="368">
        <f>F52+F59+F67+F68+F69+F70+F76+F77+F78</f>
        <v>56793</v>
      </c>
      <c r="G51" s="368">
        <f>G52+G59+G67+G68+G69+G70+G76+G77+G78</f>
        <v>102370</v>
      </c>
      <c r="H51" s="369">
        <f>G51/F51</f>
        <v>1.8025108728188333</v>
      </c>
      <c r="I51" s="414"/>
    </row>
    <row r="52" spans="1:8" ht="18.75">
      <c r="A52" s="66" t="s">
        <v>226</v>
      </c>
      <c r="B52" s="61" t="s">
        <v>227</v>
      </c>
      <c r="C52" s="62" t="s">
        <v>228</v>
      </c>
      <c r="D52" s="365">
        <f>D53+D54+D55+D56+D57+D58</f>
        <v>14223</v>
      </c>
      <c r="E52" s="365">
        <f>E53+E54+E55+E56+E57+E58</f>
        <v>10000</v>
      </c>
      <c r="F52" s="365">
        <f>F53+F54+F55+F56+F57+F58</f>
        <v>10784</v>
      </c>
      <c r="G52" s="365">
        <f>G53+G54+G55+G56+G57+G58</f>
        <v>12944</v>
      </c>
      <c r="H52" s="369">
        <f>G52/F52</f>
        <v>1.2002967359050445</v>
      </c>
    </row>
    <row r="53" spans="1:9" ht="18.75">
      <c r="A53" s="64">
        <v>10</v>
      </c>
      <c r="B53" s="63" t="s">
        <v>229</v>
      </c>
      <c r="C53" s="62" t="s">
        <v>230</v>
      </c>
      <c r="D53" s="20">
        <v>4281</v>
      </c>
      <c r="E53" s="20">
        <v>10000</v>
      </c>
      <c r="F53" s="410">
        <v>10784</v>
      </c>
      <c r="G53" s="365">
        <v>5381</v>
      </c>
      <c r="H53" s="369">
        <f>G53/F53</f>
        <v>0.4989799703264095</v>
      </c>
      <c r="I53" s="414"/>
    </row>
    <row r="54" spans="1:8" ht="18.75">
      <c r="A54" s="64">
        <v>11</v>
      </c>
      <c r="B54" s="63" t="s">
        <v>231</v>
      </c>
      <c r="C54" s="62" t="s">
        <v>232</v>
      </c>
      <c r="D54" s="20"/>
      <c r="E54" s="20"/>
      <c r="F54" s="410"/>
      <c r="G54" s="365"/>
      <c r="H54" s="369"/>
    </row>
    <row r="55" spans="1:8" ht="18.75">
      <c r="A55" s="64">
        <v>12</v>
      </c>
      <c r="B55" s="63" t="s">
        <v>233</v>
      </c>
      <c r="C55" s="62" t="s">
        <v>234</v>
      </c>
      <c r="D55" s="20"/>
      <c r="E55" s="20"/>
      <c r="F55" s="410"/>
      <c r="G55" s="365"/>
      <c r="H55" s="369"/>
    </row>
    <row r="56" spans="1:8" ht="18.75">
      <c r="A56" s="64">
        <v>13</v>
      </c>
      <c r="B56" s="63" t="s">
        <v>235</v>
      </c>
      <c r="C56" s="62" t="s">
        <v>236</v>
      </c>
      <c r="D56" s="20"/>
      <c r="E56" s="20"/>
      <c r="F56" s="410"/>
      <c r="G56" s="365"/>
      <c r="H56" s="369"/>
    </row>
    <row r="57" spans="1:8" ht="18.75">
      <c r="A57" s="64">
        <v>14</v>
      </c>
      <c r="B57" s="63" t="s">
        <v>237</v>
      </c>
      <c r="C57" s="62" t="s">
        <v>238</v>
      </c>
      <c r="D57" s="20"/>
      <c r="E57" s="20"/>
      <c r="F57" s="410"/>
      <c r="G57" s="365"/>
      <c r="H57" s="369"/>
    </row>
    <row r="58" spans="1:8" ht="18.75">
      <c r="A58" s="64">
        <v>15</v>
      </c>
      <c r="B58" s="67" t="s">
        <v>239</v>
      </c>
      <c r="C58" s="62" t="s">
        <v>240</v>
      </c>
      <c r="D58" s="20">
        <v>9942</v>
      </c>
      <c r="E58" s="20"/>
      <c r="F58" s="410"/>
      <c r="G58" s="366">
        <v>7563</v>
      </c>
      <c r="H58" s="369"/>
    </row>
    <row r="59" spans="1:8" ht="37.5">
      <c r="A59" s="66"/>
      <c r="B59" s="61" t="s">
        <v>241</v>
      </c>
      <c r="C59" s="62" t="s">
        <v>242</v>
      </c>
      <c r="D59" s="368">
        <f>D60+D61+D62+D63+D64+D65+D66</f>
        <v>30041</v>
      </c>
      <c r="E59" s="368">
        <f>E60+E61+E62+E63+E64+E65+E66</f>
        <v>29850</v>
      </c>
      <c r="F59" s="368">
        <f>F60+F61+F62+F63+F64+F65+F66</f>
        <v>28168</v>
      </c>
      <c r="G59" s="368">
        <f>G60+G61+G62+G63+G64+G65+G66</f>
        <v>54129</v>
      </c>
      <c r="H59" s="369">
        <f>G59/F59</f>
        <v>1.9216486793524568</v>
      </c>
    </row>
    <row r="60" spans="1:8" ht="18.75">
      <c r="A60" s="64" t="s">
        <v>243</v>
      </c>
      <c r="B60" s="63" t="s">
        <v>244</v>
      </c>
      <c r="C60" s="62" t="s">
        <v>245</v>
      </c>
      <c r="D60" s="20"/>
      <c r="E60" s="20"/>
      <c r="F60" s="410"/>
      <c r="G60" s="365"/>
      <c r="H60" s="369"/>
    </row>
    <row r="61" spans="1:8" ht="18.75">
      <c r="A61" s="64" t="s">
        <v>246</v>
      </c>
      <c r="B61" s="63" t="s">
        <v>247</v>
      </c>
      <c r="C61" s="62" t="s">
        <v>248</v>
      </c>
      <c r="D61" s="35"/>
      <c r="E61" s="35"/>
      <c r="F61" s="410"/>
      <c r="G61" s="367"/>
      <c r="H61" s="369"/>
    </row>
    <row r="62" spans="1:8" ht="18.75">
      <c r="A62" s="64" t="s">
        <v>249</v>
      </c>
      <c r="B62" s="63" t="s">
        <v>250</v>
      </c>
      <c r="C62" s="62" t="s">
        <v>251</v>
      </c>
      <c r="D62" s="33"/>
      <c r="E62" s="20"/>
      <c r="F62" s="410"/>
      <c r="G62" s="33"/>
      <c r="H62" s="369"/>
    </row>
    <row r="63" spans="1:8" ht="18.75">
      <c r="A63" s="64" t="s">
        <v>252</v>
      </c>
      <c r="B63" s="63" t="s">
        <v>253</v>
      </c>
      <c r="C63" s="62" t="s">
        <v>254</v>
      </c>
      <c r="D63" s="20"/>
      <c r="E63" s="20"/>
      <c r="F63" s="410"/>
      <c r="G63" s="20"/>
      <c r="H63" s="369"/>
    </row>
    <row r="64" spans="1:10" ht="18.75">
      <c r="A64" s="64" t="s">
        <v>255</v>
      </c>
      <c r="B64" s="63" t="s">
        <v>256</v>
      </c>
      <c r="C64" s="62" t="s">
        <v>257</v>
      </c>
      <c r="D64" s="35">
        <v>30041</v>
      </c>
      <c r="E64" s="35">
        <v>29850</v>
      </c>
      <c r="F64" s="410">
        <v>28168</v>
      </c>
      <c r="G64" s="367">
        <v>54129</v>
      </c>
      <c r="H64" s="369">
        <f>G64/F64</f>
        <v>1.9216486793524568</v>
      </c>
      <c r="J64" s="414"/>
    </row>
    <row r="65" spans="1:10" ht="18.75">
      <c r="A65" s="64" t="s">
        <v>258</v>
      </c>
      <c r="B65" s="63" t="s">
        <v>259</v>
      </c>
      <c r="C65" s="62" t="s">
        <v>260</v>
      </c>
      <c r="D65" s="35"/>
      <c r="E65" s="35"/>
      <c r="F65" s="410"/>
      <c r="G65" s="367"/>
      <c r="H65" s="369"/>
      <c r="J65" s="414"/>
    </row>
    <row r="66" spans="1:10" ht="18.75">
      <c r="A66" s="64" t="s">
        <v>261</v>
      </c>
      <c r="B66" s="63" t="s">
        <v>262</v>
      </c>
      <c r="C66" s="62" t="s">
        <v>263</v>
      </c>
      <c r="D66" s="35"/>
      <c r="E66" s="35"/>
      <c r="F66" s="410"/>
      <c r="G66" s="367"/>
      <c r="H66" s="369"/>
      <c r="J66" s="414"/>
    </row>
    <row r="67" spans="1:11" ht="18.75">
      <c r="A67" s="66">
        <v>21</v>
      </c>
      <c r="B67" s="61" t="s">
        <v>264</v>
      </c>
      <c r="C67" s="62" t="s">
        <v>265</v>
      </c>
      <c r="D67" s="35"/>
      <c r="E67" s="35"/>
      <c r="F67" s="410"/>
      <c r="G67" s="367"/>
      <c r="H67" s="369"/>
      <c r="K67" s="414"/>
    </row>
    <row r="68" spans="1:11" ht="18.75">
      <c r="A68" s="66">
        <v>22</v>
      </c>
      <c r="B68" s="61" t="s">
        <v>266</v>
      </c>
      <c r="C68" s="62" t="s">
        <v>267</v>
      </c>
      <c r="D68" s="354">
        <v>10551</v>
      </c>
      <c r="E68" s="354">
        <v>1800</v>
      </c>
      <c r="F68" s="411">
        <v>1800</v>
      </c>
      <c r="G68" s="354">
        <v>9533</v>
      </c>
      <c r="H68" s="369">
        <f>G68/F68</f>
        <v>5.296111111111111</v>
      </c>
      <c r="I68" s="486"/>
      <c r="J68" s="487"/>
      <c r="K68" s="487"/>
    </row>
    <row r="69" spans="1:11" ht="37.5">
      <c r="A69" s="66">
        <v>236</v>
      </c>
      <c r="B69" s="61" t="s">
        <v>268</v>
      </c>
      <c r="C69" s="62" t="s">
        <v>269</v>
      </c>
      <c r="D69" s="35"/>
      <c r="E69" s="35"/>
      <c r="F69" s="410"/>
      <c r="G69" s="367"/>
      <c r="H69" s="369"/>
      <c r="I69" s="488"/>
      <c r="J69" s="487"/>
      <c r="K69" s="487"/>
    </row>
    <row r="70" spans="1:11" ht="37.5">
      <c r="A70" s="66" t="s">
        <v>270</v>
      </c>
      <c r="B70" s="61" t="s">
        <v>271</v>
      </c>
      <c r="C70" s="62" t="s">
        <v>272</v>
      </c>
      <c r="D70" s="35">
        <v>0</v>
      </c>
      <c r="E70" s="35">
        <v>0</v>
      </c>
      <c r="F70" s="410">
        <v>0</v>
      </c>
      <c r="G70" s="367">
        <f>G71+G72+G73+G74+G75</f>
        <v>0</v>
      </c>
      <c r="H70" s="369"/>
      <c r="I70" s="488"/>
      <c r="J70" s="487"/>
      <c r="K70" s="487"/>
    </row>
    <row r="71" spans="1:8" ht="18.75">
      <c r="A71" s="64" t="s">
        <v>273</v>
      </c>
      <c r="B71" s="63" t="s">
        <v>274</v>
      </c>
      <c r="C71" s="62" t="s">
        <v>275</v>
      </c>
      <c r="D71" s="35"/>
      <c r="E71" s="35"/>
      <c r="F71" s="410"/>
      <c r="G71" s="367"/>
      <c r="H71" s="369"/>
    </row>
    <row r="72" spans="1:8" ht="18.75">
      <c r="A72" s="64" t="s">
        <v>276</v>
      </c>
      <c r="B72" s="63" t="s">
        <v>277</v>
      </c>
      <c r="C72" s="62" t="s">
        <v>278</v>
      </c>
      <c r="D72" s="35"/>
      <c r="E72" s="35"/>
      <c r="F72" s="410"/>
      <c r="G72" s="367"/>
      <c r="H72" s="369"/>
    </row>
    <row r="73" spans="1:8" ht="18.75">
      <c r="A73" s="64" t="s">
        <v>279</v>
      </c>
      <c r="B73" s="63" t="s">
        <v>280</v>
      </c>
      <c r="C73" s="62" t="s">
        <v>281</v>
      </c>
      <c r="D73" s="35"/>
      <c r="E73" s="35"/>
      <c r="F73" s="410"/>
      <c r="G73" s="367"/>
      <c r="H73" s="369"/>
    </row>
    <row r="74" spans="1:8" ht="18.75">
      <c r="A74" s="64" t="s">
        <v>282</v>
      </c>
      <c r="B74" s="63" t="s">
        <v>283</v>
      </c>
      <c r="C74" s="62" t="s">
        <v>284</v>
      </c>
      <c r="D74" s="35"/>
      <c r="E74" s="35"/>
      <c r="F74" s="410"/>
      <c r="G74" s="367"/>
      <c r="H74" s="369"/>
    </row>
    <row r="75" spans="1:8" ht="37.5">
      <c r="A75" s="64" t="s">
        <v>285</v>
      </c>
      <c r="B75" s="63" t="s">
        <v>286</v>
      </c>
      <c r="C75" s="62" t="s">
        <v>287</v>
      </c>
      <c r="D75" s="35"/>
      <c r="E75" s="35"/>
      <c r="F75" s="410"/>
      <c r="G75" s="367"/>
      <c r="H75" s="369"/>
    </row>
    <row r="76" spans="1:8" ht="18.75">
      <c r="A76" s="66">
        <v>24</v>
      </c>
      <c r="B76" s="61" t="s">
        <v>288</v>
      </c>
      <c r="C76" s="62" t="s">
        <v>289</v>
      </c>
      <c r="D76" s="354">
        <v>83665</v>
      </c>
      <c r="E76" s="354">
        <v>58188</v>
      </c>
      <c r="F76" s="409">
        <v>13489</v>
      </c>
      <c r="G76" s="354">
        <v>17528</v>
      </c>
      <c r="H76" s="369">
        <f>G76/F76</f>
        <v>1.299429164504411</v>
      </c>
    </row>
    <row r="77" spans="1:11" ht="18.75">
      <c r="A77" s="66">
        <v>27</v>
      </c>
      <c r="B77" s="61" t="s">
        <v>290</v>
      </c>
      <c r="C77" s="62" t="s">
        <v>291</v>
      </c>
      <c r="D77" s="35"/>
      <c r="E77" s="35"/>
      <c r="F77" s="410"/>
      <c r="G77" s="367">
        <v>8017</v>
      </c>
      <c r="H77" s="369"/>
      <c r="I77" s="488"/>
      <c r="J77" s="487"/>
      <c r="K77" s="487"/>
    </row>
    <row r="78" spans="1:11" ht="18.75">
      <c r="A78" s="66" t="s">
        <v>292</v>
      </c>
      <c r="B78" s="61" t="s">
        <v>293</v>
      </c>
      <c r="C78" s="62" t="s">
        <v>294</v>
      </c>
      <c r="D78" s="354">
        <v>2727</v>
      </c>
      <c r="E78" s="354">
        <v>2552</v>
      </c>
      <c r="F78" s="409">
        <v>2552</v>
      </c>
      <c r="G78" s="354">
        <v>219</v>
      </c>
      <c r="H78" s="369">
        <f>G78/F78</f>
        <v>0.08581504702194358</v>
      </c>
      <c r="I78" s="488"/>
      <c r="J78" s="487"/>
      <c r="K78" s="487"/>
    </row>
    <row r="79" spans="1:11" ht="37.5">
      <c r="A79" s="66"/>
      <c r="B79" s="61" t="s">
        <v>295</v>
      </c>
      <c r="C79" s="62" t="s">
        <v>296</v>
      </c>
      <c r="D79" s="409">
        <f>D9+D10+D50+D51</f>
        <v>537624</v>
      </c>
      <c r="E79" s="409">
        <f>E9+E10+E50+E51</f>
        <v>416906</v>
      </c>
      <c r="F79" s="409">
        <f>F9+F10+F50+F51</f>
        <v>376516</v>
      </c>
      <c r="G79" s="409">
        <f>G9+G10+G50+G51</f>
        <v>507782</v>
      </c>
      <c r="H79" s="369">
        <f>G79/F79</f>
        <v>1.3486332586131797</v>
      </c>
      <c r="I79" s="488"/>
      <c r="J79" s="487"/>
      <c r="K79" s="487"/>
    </row>
    <row r="80" spans="1:11" ht="18.75">
      <c r="A80" s="66">
        <v>88</v>
      </c>
      <c r="B80" s="61" t="s">
        <v>297</v>
      </c>
      <c r="C80" s="62" t="s">
        <v>298</v>
      </c>
      <c r="D80" s="35">
        <v>7132</v>
      </c>
      <c r="E80" s="35"/>
      <c r="F80" s="410"/>
      <c r="G80" s="367">
        <v>4589</v>
      </c>
      <c r="H80" s="369"/>
      <c r="I80" s="487"/>
      <c r="J80" s="487"/>
      <c r="K80" s="487"/>
    </row>
    <row r="81" spans="1:8" ht="18.75">
      <c r="A81" s="66"/>
      <c r="B81" s="61" t="s">
        <v>299</v>
      </c>
      <c r="C81" s="68"/>
      <c r="D81" s="35"/>
      <c r="E81" s="35"/>
      <c r="F81" s="410"/>
      <c r="G81" s="367"/>
      <c r="H81" s="369"/>
    </row>
    <row r="82" spans="1:8" ht="37.5">
      <c r="A82" s="66"/>
      <c r="B82" s="61" t="s">
        <v>300</v>
      </c>
      <c r="C82" s="62" t="s">
        <v>301</v>
      </c>
      <c r="D82" s="354">
        <f>D83+D92-D93+D94+D95+D96-D97+D98+D101-D102</f>
        <v>234014</v>
      </c>
      <c r="E82" s="354">
        <f>E83+E92-E93+E94+E95+E96-E97+E98+E101-E102</f>
        <v>258606</v>
      </c>
      <c r="F82" s="354">
        <f>F83+F92-F93+F94+F95+F96-F97+F98+F101-F102</f>
        <v>210977</v>
      </c>
      <c r="G82" s="354">
        <f>G83+G92-G93+G94+G95+G96-G97+G98+G101-G102</f>
        <v>247025</v>
      </c>
      <c r="H82" s="369">
        <f>G82/F82</f>
        <v>1.1708622266882172</v>
      </c>
    </row>
    <row r="83" spans="1:9" ht="37.5">
      <c r="A83" s="66">
        <v>30</v>
      </c>
      <c r="B83" s="61" t="s">
        <v>302</v>
      </c>
      <c r="C83" s="62" t="s">
        <v>303</v>
      </c>
      <c r="D83" s="367">
        <f>D84+D85+D86+D87+D88+D89+D90+D91</f>
        <v>71982</v>
      </c>
      <c r="E83" s="367">
        <f>E84+E85+E86+E87+E88+E89+E90+E91</f>
        <v>71982</v>
      </c>
      <c r="F83" s="367">
        <f>F84+F85+F86+F87+F88+F89+F90+F91</f>
        <v>71982</v>
      </c>
      <c r="G83" s="367">
        <f>G84+G85+G86+G87+G88+G89+G90+G91</f>
        <v>71982</v>
      </c>
      <c r="H83" s="369">
        <f>G83/F83</f>
        <v>1</v>
      </c>
      <c r="I83" s="414"/>
    </row>
    <row r="84" spans="1:8" ht="18.75">
      <c r="A84" s="64">
        <v>300</v>
      </c>
      <c r="B84" s="63" t="s">
        <v>304</v>
      </c>
      <c r="C84" s="62" t="s">
        <v>305</v>
      </c>
      <c r="D84" s="35"/>
      <c r="E84" s="35"/>
      <c r="F84" s="410"/>
      <c r="G84" s="367"/>
      <c r="H84" s="369"/>
    </row>
    <row r="85" spans="1:8" ht="18.75">
      <c r="A85" s="64">
        <v>301</v>
      </c>
      <c r="B85" s="63" t="s">
        <v>306</v>
      </c>
      <c r="C85" s="62" t="s">
        <v>307</v>
      </c>
      <c r="D85" s="35"/>
      <c r="E85" s="35"/>
      <c r="F85" s="410"/>
      <c r="G85" s="367"/>
      <c r="H85" s="369"/>
    </row>
    <row r="86" spans="1:8" ht="18.75">
      <c r="A86" s="64">
        <v>302</v>
      </c>
      <c r="B86" s="63" t="s">
        <v>308</v>
      </c>
      <c r="C86" s="62" t="s">
        <v>309</v>
      </c>
      <c r="D86" s="35"/>
      <c r="E86" s="35"/>
      <c r="F86" s="410"/>
      <c r="G86" s="367"/>
      <c r="H86" s="369"/>
    </row>
    <row r="87" spans="1:8" ht="18.75">
      <c r="A87" s="64">
        <v>303</v>
      </c>
      <c r="B87" s="63" t="s">
        <v>310</v>
      </c>
      <c r="C87" s="62" t="s">
        <v>311</v>
      </c>
      <c r="D87" s="35">
        <v>24188</v>
      </c>
      <c r="E87" s="35">
        <v>24188</v>
      </c>
      <c r="F87" s="412">
        <v>24188</v>
      </c>
      <c r="G87" s="367">
        <v>24188</v>
      </c>
      <c r="H87" s="369">
        <f>G87/F87</f>
        <v>1</v>
      </c>
    </row>
    <row r="88" spans="1:8" ht="18.75">
      <c r="A88" s="64">
        <v>304</v>
      </c>
      <c r="B88" s="63" t="s">
        <v>312</v>
      </c>
      <c r="C88" s="62" t="s">
        <v>313</v>
      </c>
      <c r="D88" s="35"/>
      <c r="E88" s="35"/>
      <c r="F88" s="410"/>
      <c r="G88" s="367"/>
      <c r="H88" s="369"/>
    </row>
    <row r="89" spans="1:8" ht="18.75">
      <c r="A89" s="64">
        <v>305</v>
      </c>
      <c r="B89" s="63" t="s">
        <v>314</v>
      </c>
      <c r="C89" s="62" t="s">
        <v>315</v>
      </c>
      <c r="D89" s="35"/>
      <c r="E89" s="35"/>
      <c r="F89" s="410"/>
      <c r="G89" s="367"/>
      <c r="H89" s="369"/>
    </row>
    <row r="90" spans="1:8" ht="18.75">
      <c r="A90" s="64">
        <v>306</v>
      </c>
      <c r="B90" s="63" t="s">
        <v>316</v>
      </c>
      <c r="C90" s="62" t="s">
        <v>317</v>
      </c>
      <c r="D90" s="35"/>
      <c r="E90" s="35"/>
      <c r="F90" s="410"/>
      <c r="G90" s="367"/>
      <c r="H90" s="369"/>
    </row>
    <row r="91" spans="1:8" ht="18.75">
      <c r="A91" s="64">
        <v>309</v>
      </c>
      <c r="B91" s="63" t="s">
        <v>318</v>
      </c>
      <c r="C91" s="62" t="s">
        <v>319</v>
      </c>
      <c r="D91" s="35">
        <v>47794</v>
      </c>
      <c r="E91" s="35">
        <v>47794</v>
      </c>
      <c r="F91" s="410">
        <v>47794</v>
      </c>
      <c r="G91" s="367">
        <v>47794</v>
      </c>
      <c r="H91" s="369">
        <f>G91/F91</f>
        <v>1</v>
      </c>
    </row>
    <row r="92" spans="1:8" ht="18.75">
      <c r="A92" s="66">
        <v>31</v>
      </c>
      <c r="B92" s="61" t="s">
        <v>320</v>
      </c>
      <c r="C92" s="62" t="s">
        <v>321</v>
      </c>
      <c r="D92" s="35"/>
      <c r="E92" s="35"/>
      <c r="F92" s="410"/>
      <c r="G92" s="367"/>
      <c r="H92" s="369"/>
    </row>
    <row r="93" spans="1:8" ht="18.75">
      <c r="A93" s="66" t="s">
        <v>322</v>
      </c>
      <c r="B93" s="61" t="s">
        <v>323</v>
      </c>
      <c r="C93" s="62" t="s">
        <v>324</v>
      </c>
      <c r="D93" s="35"/>
      <c r="E93" s="35"/>
      <c r="F93" s="410"/>
      <c r="G93" s="367"/>
      <c r="H93" s="369"/>
    </row>
    <row r="94" spans="1:8" ht="18.75">
      <c r="A94" s="66">
        <v>32</v>
      </c>
      <c r="B94" s="61" t="s">
        <v>325</v>
      </c>
      <c r="C94" s="62" t="s">
        <v>326</v>
      </c>
      <c r="D94" s="35"/>
      <c r="E94" s="35"/>
      <c r="F94" s="410"/>
      <c r="G94" s="367"/>
      <c r="H94" s="369"/>
    </row>
    <row r="95" spans="1:8" ht="56.25">
      <c r="A95" s="66">
        <v>330</v>
      </c>
      <c r="B95" s="61" t="s">
        <v>327</v>
      </c>
      <c r="C95" s="62" t="s">
        <v>328</v>
      </c>
      <c r="D95" s="35">
        <v>109752</v>
      </c>
      <c r="E95" s="35">
        <v>113841</v>
      </c>
      <c r="F95" s="412">
        <v>113841</v>
      </c>
      <c r="G95" s="367">
        <v>109752</v>
      </c>
      <c r="H95" s="369">
        <f>G95/F95</f>
        <v>0.9640814820670935</v>
      </c>
    </row>
    <row r="96" spans="1:8" ht="75">
      <c r="A96" s="66" t="s">
        <v>329</v>
      </c>
      <c r="B96" s="61" t="s">
        <v>330</v>
      </c>
      <c r="C96" s="62" t="s">
        <v>331</v>
      </c>
      <c r="D96" s="35"/>
      <c r="E96" s="35"/>
      <c r="F96" s="410"/>
      <c r="G96" s="367"/>
      <c r="H96" s="369"/>
    </row>
    <row r="97" spans="1:8" ht="75">
      <c r="A97" s="66" t="s">
        <v>329</v>
      </c>
      <c r="B97" s="61" t="s">
        <v>332</v>
      </c>
      <c r="C97" s="62" t="s">
        <v>333</v>
      </c>
      <c r="D97" s="35">
        <v>50</v>
      </c>
      <c r="E97" s="35">
        <v>50</v>
      </c>
      <c r="F97" s="410">
        <v>50</v>
      </c>
      <c r="G97" s="367">
        <v>50</v>
      </c>
      <c r="H97" s="369">
        <f>G97/F97</f>
        <v>1</v>
      </c>
    </row>
    <row r="98" spans="1:8" ht="18.75">
      <c r="A98" s="66">
        <v>34</v>
      </c>
      <c r="B98" s="61" t="s">
        <v>334</v>
      </c>
      <c r="C98" s="62" t="s">
        <v>335</v>
      </c>
      <c r="D98" s="354">
        <f>D99+D100</f>
        <v>52330</v>
      </c>
      <c r="E98" s="354">
        <f>E99+E100</f>
        <v>72833</v>
      </c>
      <c r="F98" s="354">
        <f>F99+F100</f>
        <v>50709</v>
      </c>
      <c r="G98" s="354">
        <f>G99+G100</f>
        <v>65341</v>
      </c>
      <c r="H98" s="369">
        <f>G98/F98</f>
        <v>1.28854838391607</v>
      </c>
    </row>
    <row r="99" spans="1:8" ht="18.75">
      <c r="A99" s="64">
        <v>340</v>
      </c>
      <c r="B99" s="63" t="s">
        <v>336</v>
      </c>
      <c r="C99" s="62" t="s">
        <v>337</v>
      </c>
      <c r="D99" s="35">
        <v>50471</v>
      </c>
      <c r="E99" s="35">
        <v>50709</v>
      </c>
      <c r="F99" s="410">
        <v>50709</v>
      </c>
      <c r="G99" s="367">
        <v>52330</v>
      </c>
      <c r="H99" s="369">
        <f>G99/F99</f>
        <v>1.0319667120235068</v>
      </c>
    </row>
    <row r="100" spans="1:8" ht="18.75">
      <c r="A100" s="64">
        <v>341</v>
      </c>
      <c r="B100" s="63" t="s">
        <v>338</v>
      </c>
      <c r="C100" s="62" t="s">
        <v>339</v>
      </c>
      <c r="D100" s="35">
        <v>1859</v>
      </c>
      <c r="E100" s="35">
        <v>22124</v>
      </c>
      <c r="F100" s="410"/>
      <c r="G100" s="367">
        <v>13011</v>
      </c>
      <c r="H100" s="369"/>
    </row>
    <row r="101" spans="1:8" ht="18.75">
      <c r="A101" s="66"/>
      <c r="B101" s="61" t="s">
        <v>340</v>
      </c>
      <c r="C101" s="62" t="s">
        <v>341</v>
      </c>
      <c r="D101" s="35"/>
      <c r="E101" s="35"/>
      <c r="F101" s="410"/>
      <c r="G101" s="367"/>
      <c r="H101" s="369"/>
    </row>
    <row r="102" spans="1:8" ht="18.75">
      <c r="A102" s="66">
        <v>35</v>
      </c>
      <c r="B102" s="61" t="s">
        <v>342</v>
      </c>
      <c r="C102" s="62" t="s">
        <v>343</v>
      </c>
      <c r="D102" s="409">
        <f>D103+D104</f>
        <v>0</v>
      </c>
      <c r="E102" s="409">
        <f>E103+E104</f>
        <v>0</v>
      </c>
      <c r="F102" s="409">
        <f>F103+F104</f>
        <v>25505</v>
      </c>
      <c r="G102" s="354">
        <f>G103+G104</f>
        <v>0</v>
      </c>
      <c r="H102" s="369">
        <f>G102/F102</f>
        <v>0</v>
      </c>
    </row>
    <row r="103" spans="1:8" ht="18.75">
      <c r="A103" s="64">
        <v>350</v>
      </c>
      <c r="B103" s="63" t="s">
        <v>344</v>
      </c>
      <c r="C103" s="62" t="s">
        <v>345</v>
      </c>
      <c r="D103" s="35">
        <v>0</v>
      </c>
      <c r="E103" s="35"/>
      <c r="F103" s="410"/>
      <c r="G103" s="367">
        <v>0</v>
      </c>
      <c r="H103" s="369"/>
    </row>
    <row r="104" spans="1:8" ht="18.75">
      <c r="A104" s="64">
        <v>351</v>
      </c>
      <c r="B104" s="63" t="s">
        <v>346</v>
      </c>
      <c r="C104" s="62" t="s">
        <v>347</v>
      </c>
      <c r="D104" s="35"/>
      <c r="E104" s="35"/>
      <c r="F104" s="410">
        <v>25505</v>
      </c>
      <c r="G104" s="367"/>
      <c r="H104" s="369">
        <f>G104/F104</f>
        <v>0</v>
      </c>
    </row>
    <row r="105" spans="1:9" ht="33" customHeight="1">
      <c r="A105" s="66"/>
      <c r="B105" s="61" t="s">
        <v>348</v>
      </c>
      <c r="C105" s="62" t="s">
        <v>349</v>
      </c>
      <c r="D105" s="367">
        <f>D106+D113</f>
        <v>84462</v>
      </c>
      <c r="E105" s="367">
        <f>E106+E113</f>
        <v>102476</v>
      </c>
      <c r="F105" s="367">
        <f>F106+F113</f>
        <v>107133</v>
      </c>
      <c r="G105" s="367">
        <f>G106+G113</f>
        <v>83819</v>
      </c>
      <c r="H105" s="369">
        <f>G105/F105</f>
        <v>0.7823826458700868</v>
      </c>
      <c r="I105" s="414"/>
    </row>
    <row r="106" spans="1:8" ht="20.25" customHeight="1">
      <c r="A106" s="66">
        <v>40</v>
      </c>
      <c r="B106" s="61" t="s">
        <v>350</v>
      </c>
      <c r="C106" s="62" t="s">
        <v>351</v>
      </c>
      <c r="D106" s="354">
        <f>D107+D108+D109+D110+D111+D112</f>
        <v>61371</v>
      </c>
      <c r="E106" s="354">
        <f>E107+E108+E109+E110+E111+E112</f>
        <v>79384</v>
      </c>
      <c r="F106" s="354">
        <f>F107+F108+F109+F110+F111+F112</f>
        <v>79384</v>
      </c>
      <c r="G106" s="354">
        <f>G107+G108+G109+G110+G111+G112</f>
        <v>60728</v>
      </c>
      <c r="H106" s="369">
        <f>G106/F106</f>
        <v>0.7649904262823742</v>
      </c>
    </row>
    <row r="107" spans="1:8" ht="18.75">
      <c r="A107" s="64">
        <v>400</v>
      </c>
      <c r="B107" s="63" t="s">
        <v>352</v>
      </c>
      <c r="C107" s="62" t="s">
        <v>353</v>
      </c>
      <c r="D107" s="35"/>
      <c r="E107" s="35"/>
      <c r="F107" s="410"/>
      <c r="G107" s="367"/>
      <c r="H107" s="369"/>
    </row>
    <row r="108" spans="1:8" ht="18.75">
      <c r="A108" s="64">
        <v>401</v>
      </c>
      <c r="B108" s="63" t="s">
        <v>354</v>
      </c>
      <c r="C108" s="62" t="s">
        <v>355</v>
      </c>
      <c r="D108" s="35"/>
      <c r="E108" s="35"/>
      <c r="F108" s="410"/>
      <c r="G108" s="367"/>
      <c r="H108" s="369"/>
    </row>
    <row r="109" spans="1:8" ht="18.75">
      <c r="A109" s="64">
        <v>403</v>
      </c>
      <c r="B109" s="63" t="s">
        <v>356</v>
      </c>
      <c r="C109" s="62" t="s">
        <v>357</v>
      </c>
      <c r="D109" s="35"/>
      <c r="E109" s="35"/>
      <c r="F109" s="410"/>
      <c r="G109" s="367"/>
      <c r="H109" s="369"/>
    </row>
    <row r="110" spans="1:8" ht="18.75">
      <c r="A110" s="64">
        <v>404</v>
      </c>
      <c r="B110" s="63" t="s">
        <v>358</v>
      </c>
      <c r="C110" s="62" t="s">
        <v>359</v>
      </c>
      <c r="D110" s="35">
        <v>12301</v>
      </c>
      <c r="E110" s="35">
        <v>12500</v>
      </c>
      <c r="F110" s="410">
        <v>12500</v>
      </c>
      <c r="G110" s="367">
        <v>11658</v>
      </c>
      <c r="H110" s="369">
        <f>G110/F110</f>
        <v>0.93264</v>
      </c>
    </row>
    <row r="111" spans="1:8" ht="18.75">
      <c r="A111" s="64">
        <v>405</v>
      </c>
      <c r="B111" s="63" t="s">
        <v>360</v>
      </c>
      <c r="C111" s="62" t="s">
        <v>361</v>
      </c>
      <c r="D111" s="35">
        <v>49070</v>
      </c>
      <c r="E111" s="35">
        <v>66884</v>
      </c>
      <c r="F111" s="410">
        <v>66884</v>
      </c>
      <c r="G111" s="367">
        <v>49070</v>
      </c>
      <c r="H111" s="369">
        <f>G111/F111</f>
        <v>0.733658274026673</v>
      </c>
    </row>
    <row r="112" spans="1:8" ht="18.75">
      <c r="A112" s="64" t="s">
        <v>362</v>
      </c>
      <c r="B112" s="63" t="s">
        <v>363</v>
      </c>
      <c r="C112" s="62" t="s">
        <v>364</v>
      </c>
      <c r="D112" s="35"/>
      <c r="E112" s="35"/>
      <c r="F112" s="410"/>
      <c r="G112" s="367"/>
      <c r="H112" s="369"/>
    </row>
    <row r="113" spans="1:8" ht="37.5">
      <c r="A113" s="66">
        <v>41</v>
      </c>
      <c r="B113" s="61" t="s">
        <v>365</v>
      </c>
      <c r="C113" s="62" t="s">
        <v>366</v>
      </c>
      <c r="D113" s="409">
        <f>D114+D115+D116+D117+D118+D119+D120+D121</f>
        <v>23091</v>
      </c>
      <c r="E113" s="409">
        <f>E114+E115+E116+E117+E118+E119+E120+E121</f>
        <v>23092</v>
      </c>
      <c r="F113" s="409">
        <f>F114+F115+F116+F117+F118+F119+F120+F121</f>
        <v>27749</v>
      </c>
      <c r="G113" s="354">
        <f>G114+G115+G116+G117+G118+G119+G120+G121</f>
        <v>23091</v>
      </c>
      <c r="H113" s="369">
        <f>G113/F113</f>
        <v>0.8321380950664888</v>
      </c>
    </row>
    <row r="114" spans="1:8" ht="18.75">
      <c r="A114" s="64">
        <v>410</v>
      </c>
      <c r="B114" s="63" t="s">
        <v>367</v>
      </c>
      <c r="C114" s="62" t="s">
        <v>368</v>
      </c>
      <c r="D114" s="35"/>
      <c r="E114" s="35"/>
      <c r="F114" s="410"/>
      <c r="G114" s="367"/>
      <c r="H114" s="369"/>
    </row>
    <row r="115" spans="1:8" ht="18.75">
      <c r="A115" s="64">
        <v>411</v>
      </c>
      <c r="B115" s="63" t="s">
        <v>369</v>
      </c>
      <c r="C115" s="62" t="s">
        <v>370</v>
      </c>
      <c r="D115" s="35"/>
      <c r="E115" s="35"/>
      <c r="F115" s="410"/>
      <c r="G115" s="367"/>
      <c r="H115" s="369"/>
    </row>
    <row r="116" spans="1:8" ht="18.75">
      <c r="A116" s="64">
        <v>412</v>
      </c>
      <c r="B116" s="63" t="s">
        <v>371</v>
      </c>
      <c r="C116" s="62" t="s">
        <v>372</v>
      </c>
      <c r="D116" s="35"/>
      <c r="E116" s="35"/>
      <c r="F116" s="410"/>
      <c r="G116" s="367"/>
      <c r="H116" s="369"/>
    </row>
    <row r="117" spans="1:8" ht="37.5">
      <c r="A117" s="64">
        <v>413</v>
      </c>
      <c r="B117" s="63" t="s">
        <v>373</v>
      </c>
      <c r="C117" s="62" t="s">
        <v>374</v>
      </c>
      <c r="D117" s="35"/>
      <c r="E117" s="35"/>
      <c r="F117" s="410"/>
      <c r="G117" s="367"/>
      <c r="H117" s="369"/>
    </row>
    <row r="118" spans="1:8" ht="18.75">
      <c r="A118" s="64">
        <v>414</v>
      </c>
      <c r="B118" s="63" t="s">
        <v>375</v>
      </c>
      <c r="C118" s="62" t="s">
        <v>376</v>
      </c>
      <c r="D118" s="35">
        <v>23091</v>
      </c>
      <c r="E118" s="35">
        <v>23092</v>
      </c>
      <c r="F118" s="410">
        <v>27749</v>
      </c>
      <c r="G118" s="367">
        <v>23091</v>
      </c>
      <c r="H118" s="369">
        <f>G118/F118</f>
        <v>0.8321380950664888</v>
      </c>
    </row>
    <row r="119" spans="1:8" ht="18.75">
      <c r="A119" s="64">
        <v>415</v>
      </c>
      <c r="B119" s="63" t="s">
        <v>377</v>
      </c>
      <c r="C119" s="62" t="s">
        <v>378</v>
      </c>
      <c r="D119" s="35"/>
      <c r="E119" s="35"/>
      <c r="F119" s="410"/>
      <c r="G119" s="367"/>
      <c r="H119" s="369"/>
    </row>
    <row r="120" spans="1:8" ht="18.75">
      <c r="A120" s="64">
        <v>416</v>
      </c>
      <c r="B120" s="63" t="s">
        <v>379</v>
      </c>
      <c r="C120" s="62" t="s">
        <v>380</v>
      </c>
      <c r="D120" s="35"/>
      <c r="E120" s="35"/>
      <c r="F120" s="410"/>
      <c r="G120" s="367"/>
      <c r="H120" s="369"/>
    </row>
    <row r="121" spans="1:8" ht="18.75">
      <c r="A121" s="64">
        <v>419</v>
      </c>
      <c r="B121" s="63" t="s">
        <v>381</v>
      </c>
      <c r="C121" s="62" t="s">
        <v>382</v>
      </c>
      <c r="D121" s="35"/>
      <c r="E121" s="35"/>
      <c r="F121" s="410"/>
      <c r="G121" s="367"/>
      <c r="H121" s="369"/>
    </row>
    <row r="122" spans="1:8" ht="18.75">
      <c r="A122" s="66">
        <v>498</v>
      </c>
      <c r="B122" s="61" t="s">
        <v>383</v>
      </c>
      <c r="C122" s="62" t="s">
        <v>384</v>
      </c>
      <c r="D122" s="35"/>
      <c r="E122" s="35"/>
      <c r="F122" s="410"/>
      <c r="G122" s="367"/>
      <c r="H122" s="369"/>
    </row>
    <row r="123" spans="1:8" ht="37.5">
      <c r="A123" s="66" t="s">
        <v>385</v>
      </c>
      <c r="B123" s="61" t="s">
        <v>386</v>
      </c>
      <c r="C123" s="62" t="s">
        <v>387</v>
      </c>
      <c r="D123" s="354">
        <f>D124+D131+D132+D140+D141+D142+D143</f>
        <v>219148</v>
      </c>
      <c r="E123" s="354">
        <f>E124+E131+E132+E140+E141+E142+E143</f>
        <v>55824</v>
      </c>
      <c r="F123" s="354">
        <f>F124+F131+F132+F140+F141+F142+F143</f>
        <v>58406</v>
      </c>
      <c r="G123" s="354">
        <f>G124+G131+G132+G140+G141+G142+G143</f>
        <v>176938</v>
      </c>
      <c r="H123" s="369">
        <f>G123/F123</f>
        <v>3.029449029209328</v>
      </c>
    </row>
    <row r="124" spans="1:8" ht="37.5">
      <c r="A124" s="66">
        <v>42</v>
      </c>
      <c r="B124" s="61" t="s">
        <v>388</v>
      </c>
      <c r="C124" s="62" t="s">
        <v>389</v>
      </c>
      <c r="D124" s="367">
        <f>D125+D126+D127+D128+D129+D130</f>
        <v>9313</v>
      </c>
      <c r="E124" s="367">
        <f>E125+E126+E127+E128+E129+E130</f>
        <v>9314</v>
      </c>
      <c r="F124" s="367">
        <f>F125+F126+F127+F128+F129+F130</f>
        <v>4657</v>
      </c>
      <c r="G124" s="367">
        <f>G125+G126+G127+G128+G129+G130</f>
        <v>7132</v>
      </c>
      <c r="H124" s="369">
        <f>G124/F124</f>
        <v>1.5314580201846681</v>
      </c>
    </row>
    <row r="125" spans="1:8" ht="18.75">
      <c r="A125" s="64">
        <v>420</v>
      </c>
      <c r="B125" s="63" t="s">
        <v>390</v>
      </c>
      <c r="C125" s="62" t="s">
        <v>391</v>
      </c>
      <c r="D125" s="35"/>
      <c r="E125" s="35"/>
      <c r="F125" s="410"/>
      <c r="G125" s="367"/>
      <c r="H125" s="369"/>
    </row>
    <row r="126" spans="1:8" ht="18.75">
      <c r="A126" s="64">
        <v>421</v>
      </c>
      <c r="B126" s="63" t="s">
        <v>392</v>
      </c>
      <c r="C126" s="62" t="s">
        <v>393</v>
      </c>
      <c r="D126" s="35"/>
      <c r="E126" s="35"/>
      <c r="F126" s="410"/>
      <c r="G126" s="367"/>
      <c r="H126" s="369"/>
    </row>
    <row r="127" spans="1:8" ht="18.75">
      <c r="A127" s="64">
        <v>422</v>
      </c>
      <c r="B127" s="63" t="s">
        <v>280</v>
      </c>
      <c r="C127" s="62" t="s">
        <v>394</v>
      </c>
      <c r="D127" s="35"/>
      <c r="E127" s="35"/>
      <c r="F127" s="410"/>
      <c r="G127" s="367"/>
      <c r="H127" s="369"/>
    </row>
    <row r="128" spans="1:8" ht="18.75">
      <c r="A128" s="64">
        <v>423</v>
      </c>
      <c r="B128" s="63" t="s">
        <v>283</v>
      </c>
      <c r="C128" s="62" t="s">
        <v>395</v>
      </c>
      <c r="D128" s="35"/>
      <c r="E128" s="35"/>
      <c r="F128" s="410"/>
      <c r="G128" s="367"/>
      <c r="H128" s="369"/>
    </row>
    <row r="129" spans="1:8" ht="37.5">
      <c r="A129" s="64">
        <v>427</v>
      </c>
      <c r="B129" s="63" t="s">
        <v>396</v>
      </c>
      <c r="C129" s="62" t="s">
        <v>397</v>
      </c>
      <c r="D129" s="35"/>
      <c r="E129" s="35"/>
      <c r="F129" s="410"/>
      <c r="G129" s="367"/>
      <c r="H129" s="369"/>
    </row>
    <row r="130" spans="1:8" ht="18.75">
      <c r="A130" s="64" t="s">
        <v>398</v>
      </c>
      <c r="B130" s="63" t="s">
        <v>399</v>
      </c>
      <c r="C130" s="62" t="s">
        <v>400</v>
      </c>
      <c r="D130" s="35">
        <v>9313</v>
      </c>
      <c r="E130" s="35">
        <v>9314</v>
      </c>
      <c r="F130" s="410">
        <v>4657</v>
      </c>
      <c r="G130" s="367">
        <v>7132</v>
      </c>
      <c r="H130" s="369">
        <f>G130/F130</f>
        <v>1.5314580201846681</v>
      </c>
    </row>
    <row r="131" spans="1:8" ht="18.75">
      <c r="A131" s="66">
        <v>430</v>
      </c>
      <c r="B131" s="61" t="s">
        <v>401</v>
      </c>
      <c r="C131" s="62" t="s">
        <v>402</v>
      </c>
      <c r="D131" s="35">
        <v>31</v>
      </c>
      <c r="E131" s="35"/>
      <c r="F131" s="410"/>
      <c r="G131" s="367">
        <v>31</v>
      </c>
      <c r="H131" s="369"/>
    </row>
    <row r="132" spans="1:8" ht="37.5">
      <c r="A132" s="66" t="s">
        <v>403</v>
      </c>
      <c r="B132" s="61" t="s">
        <v>404</v>
      </c>
      <c r="C132" s="62" t="s">
        <v>405</v>
      </c>
      <c r="D132" s="354">
        <f>D133+D134+D135+D136+D137+D138+D139</f>
        <v>70159</v>
      </c>
      <c r="E132" s="354">
        <f>E133+E134+E135+E136+E137+E138+E139</f>
        <v>46510</v>
      </c>
      <c r="F132" s="354">
        <f>F133+F134+F135+F136+F137+F138+F139</f>
        <v>53749</v>
      </c>
      <c r="G132" s="354">
        <f>G133+G134+G135+G136+G137+G138+G139</f>
        <v>27157</v>
      </c>
      <c r="H132" s="369">
        <f>G132/F132</f>
        <v>0.5052559117378927</v>
      </c>
    </row>
    <row r="133" spans="1:8" ht="18.75">
      <c r="A133" s="64">
        <v>431</v>
      </c>
      <c r="B133" s="63" t="s">
        <v>406</v>
      </c>
      <c r="C133" s="62" t="s">
        <v>407</v>
      </c>
      <c r="D133" s="35"/>
      <c r="E133" s="35"/>
      <c r="F133" s="410"/>
      <c r="G133" s="367"/>
      <c r="H133" s="369"/>
    </row>
    <row r="134" spans="1:8" ht="18.75">
      <c r="A134" s="64">
        <v>432</v>
      </c>
      <c r="B134" s="63" t="s">
        <v>408</v>
      </c>
      <c r="C134" s="62" t="s">
        <v>409</v>
      </c>
      <c r="D134" s="35"/>
      <c r="E134" s="35"/>
      <c r="F134" s="410"/>
      <c r="G134" s="367"/>
      <c r="H134" s="369"/>
    </row>
    <row r="135" spans="1:8" ht="18.75">
      <c r="A135" s="64">
        <v>433</v>
      </c>
      <c r="B135" s="63" t="s">
        <v>410</v>
      </c>
      <c r="C135" s="62" t="s">
        <v>411</v>
      </c>
      <c r="D135" s="35"/>
      <c r="E135" s="35"/>
      <c r="F135" s="410"/>
      <c r="G135" s="367"/>
      <c r="H135" s="369"/>
    </row>
    <row r="136" spans="1:8" ht="18.75">
      <c r="A136" s="64">
        <v>434</v>
      </c>
      <c r="B136" s="63" t="s">
        <v>412</v>
      </c>
      <c r="C136" s="62" t="s">
        <v>413</v>
      </c>
      <c r="D136" s="35"/>
      <c r="E136" s="35"/>
      <c r="F136" s="410"/>
      <c r="G136" s="367"/>
      <c r="H136" s="369"/>
    </row>
    <row r="137" spans="1:8" ht="18.75">
      <c r="A137" s="64">
        <v>435</v>
      </c>
      <c r="B137" s="63" t="s">
        <v>414</v>
      </c>
      <c r="C137" s="62" t="s">
        <v>415</v>
      </c>
      <c r="D137" s="35">
        <v>70159</v>
      </c>
      <c r="E137" s="35">
        <v>46510</v>
      </c>
      <c r="F137" s="410">
        <v>53749</v>
      </c>
      <c r="G137" s="367">
        <v>27157</v>
      </c>
      <c r="H137" s="369">
        <f>G137/F137</f>
        <v>0.5052559117378927</v>
      </c>
    </row>
    <row r="138" spans="1:8" ht="18.75">
      <c r="A138" s="64">
        <v>436</v>
      </c>
      <c r="B138" s="63" t="s">
        <v>416</v>
      </c>
      <c r="C138" s="62" t="s">
        <v>417</v>
      </c>
      <c r="D138" s="35"/>
      <c r="E138" s="35"/>
      <c r="F138" s="410"/>
      <c r="G138" s="367"/>
      <c r="H138" s="369"/>
    </row>
    <row r="139" spans="1:8" ht="18.75">
      <c r="A139" s="64">
        <v>439</v>
      </c>
      <c r="B139" s="63" t="s">
        <v>418</v>
      </c>
      <c r="C139" s="62" t="s">
        <v>419</v>
      </c>
      <c r="D139" s="35"/>
      <c r="E139" s="35"/>
      <c r="F139" s="410"/>
      <c r="G139" s="367"/>
      <c r="H139" s="369"/>
    </row>
    <row r="140" spans="1:8" ht="18.75">
      <c r="A140" s="66" t="s">
        <v>420</v>
      </c>
      <c r="B140" s="61" t="s">
        <v>421</v>
      </c>
      <c r="C140" s="62" t="s">
        <v>422</v>
      </c>
      <c r="D140" s="35">
        <v>13516</v>
      </c>
      <c r="E140" s="35"/>
      <c r="F140" s="410"/>
      <c r="G140" s="367">
        <v>5906</v>
      </c>
      <c r="H140" s="369"/>
    </row>
    <row r="141" spans="1:8" ht="18.75">
      <c r="A141" s="66">
        <v>47</v>
      </c>
      <c r="B141" s="61" t="s">
        <v>423</v>
      </c>
      <c r="C141" s="62" t="s">
        <v>424</v>
      </c>
      <c r="D141" s="35"/>
      <c r="E141" s="35"/>
      <c r="F141" s="410"/>
      <c r="G141" s="367">
        <v>17348</v>
      </c>
      <c r="H141" s="369"/>
    </row>
    <row r="142" spans="1:8" ht="37.5">
      <c r="A142" s="66">
        <v>48</v>
      </c>
      <c r="B142" s="61" t="s">
        <v>425</v>
      </c>
      <c r="C142" s="62" t="s">
        <v>426</v>
      </c>
      <c r="D142" s="35">
        <v>1639</v>
      </c>
      <c r="E142" s="35"/>
      <c r="F142" s="410"/>
      <c r="G142" s="367">
        <v>314</v>
      </c>
      <c r="H142" s="369"/>
    </row>
    <row r="143" spans="1:8" ht="18.75">
      <c r="A143" s="66" t="s">
        <v>427</v>
      </c>
      <c r="B143" s="61" t="s">
        <v>428</v>
      </c>
      <c r="C143" s="62" t="s">
        <v>429</v>
      </c>
      <c r="D143" s="35">
        <v>124490</v>
      </c>
      <c r="E143" s="35">
        <v>0</v>
      </c>
      <c r="F143" s="410">
        <v>0</v>
      </c>
      <c r="G143" s="367">
        <v>119050</v>
      </c>
      <c r="H143" s="369"/>
    </row>
    <row r="144" spans="1:8" ht="56.25">
      <c r="A144" s="66"/>
      <c r="B144" s="61" t="s">
        <v>430</v>
      </c>
      <c r="C144" s="62" t="s">
        <v>431</v>
      </c>
      <c r="D144" s="35"/>
      <c r="E144" s="35"/>
      <c r="F144" s="410"/>
      <c r="G144" s="367"/>
      <c r="H144" s="369"/>
    </row>
    <row r="145" spans="1:8" ht="18.75">
      <c r="A145" s="66"/>
      <c r="B145" s="61" t="s">
        <v>432</v>
      </c>
      <c r="C145" s="62" t="s">
        <v>433</v>
      </c>
      <c r="D145" s="409">
        <f>D105+D123+D122+D82-D144</f>
        <v>537624</v>
      </c>
      <c r="E145" s="409">
        <f>E105+E123+E122+E82-E144</f>
        <v>416906</v>
      </c>
      <c r="F145" s="409">
        <f>F105+F123+F122+F82-F144</f>
        <v>376516</v>
      </c>
      <c r="G145" s="409">
        <f>G105+G123+G122+G82-G144</f>
        <v>507782</v>
      </c>
      <c r="H145" s="369">
        <f>G145/F145</f>
        <v>1.3486332586131797</v>
      </c>
    </row>
    <row r="146" spans="1:8" ht="19.5" thickBot="1">
      <c r="A146" s="69">
        <v>89</v>
      </c>
      <c r="B146" s="70" t="s">
        <v>434</v>
      </c>
      <c r="C146" s="71" t="s">
        <v>435</v>
      </c>
      <c r="D146" s="356">
        <v>7132</v>
      </c>
      <c r="E146" s="356"/>
      <c r="F146" s="413"/>
      <c r="G146" s="499">
        <v>4589</v>
      </c>
      <c r="H146" s="369"/>
    </row>
    <row r="147" spans="1:8" ht="15.75">
      <c r="A147" s="53"/>
      <c r="B147" s="53"/>
      <c r="C147" s="53"/>
      <c r="D147" s="357"/>
      <c r="E147" s="357"/>
      <c r="F147" s="357"/>
      <c r="G147" s="358"/>
      <c r="H147" s="358"/>
    </row>
    <row r="148" spans="1:8" ht="15.75">
      <c r="A148" s="1" t="s">
        <v>1452</v>
      </c>
      <c r="B148" s="1"/>
      <c r="C148" s="1"/>
      <c r="D148" s="2"/>
      <c r="E148" s="172"/>
      <c r="F148" s="2" t="s">
        <v>99</v>
      </c>
      <c r="G148" s="172"/>
      <c r="H148" s="2"/>
    </row>
    <row r="149" spans="1:8" ht="18.75">
      <c r="A149" s="1"/>
      <c r="B149" s="1"/>
      <c r="C149" s="73" t="s">
        <v>100</v>
      </c>
      <c r="D149" s="2"/>
      <c r="E149" s="2"/>
      <c r="F149" s="2"/>
      <c r="G149" s="2"/>
      <c r="H149" s="2"/>
    </row>
    <row r="150" spans="7:8" ht="15">
      <c r="G150" s="414"/>
      <c r="H150"/>
    </row>
    <row r="151" spans="7:8" ht="15">
      <c r="G151" s="414"/>
      <c r="H151"/>
    </row>
    <row r="152" spans="7:8" ht="15">
      <c r="G152"/>
      <c r="H152"/>
    </row>
    <row r="153" spans="7:8" ht="15">
      <c r="G153"/>
      <c r="H153"/>
    </row>
    <row r="154" spans="7:8" ht="15">
      <c r="G154"/>
      <c r="H154"/>
    </row>
    <row r="155" spans="7:8" ht="15">
      <c r="G155"/>
      <c r="H155"/>
    </row>
  </sheetData>
  <sheetProtection/>
  <mergeCells count="8">
    <mergeCell ref="A4:H4"/>
    <mergeCell ref="A6:A7"/>
    <mergeCell ref="B6:B7"/>
    <mergeCell ref="C6:C7"/>
    <mergeCell ref="D6:D7"/>
    <mergeCell ref="E6:E7"/>
    <mergeCell ref="F6:G6"/>
    <mergeCell ref="H6:H7"/>
  </mergeCells>
  <printOptions/>
  <pageMargins left="0.11811023622047245" right="0.11811023622047245" top="0.15748031496062992" bottom="0.7480314960629921" header="0.31496062992125984" footer="0.31496062992125984"/>
  <pageSetup fitToHeight="0" fitToWidth="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tabColor rgb="FFFF0000"/>
  </sheetPr>
  <dimension ref="A1:P66"/>
  <sheetViews>
    <sheetView tabSelected="1" view="pageBreakPreview" zoomScale="70" zoomScaleNormal="80" zoomScaleSheetLayoutView="70" zoomScalePageLayoutView="0" workbookViewId="0" topLeftCell="A22">
      <selection activeCell="A88" sqref="A88"/>
    </sheetView>
  </sheetViews>
  <sheetFormatPr defaultColWidth="9.140625" defaultRowHeight="15"/>
  <cols>
    <col min="1" max="1" width="12.140625" style="0" customWidth="1"/>
    <col min="2" max="2" width="81.140625" style="0" customWidth="1"/>
    <col min="3" max="3" width="7.00390625" style="0" customWidth="1"/>
    <col min="4" max="4" width="23.421875" style="0" customWidth="1"/>
    <col min="5" max="5" width="25.00390625" style="0" customWidth="1"/>
    <col min="6" max="6" width="25.28125" style="0" customWidth="1"/>
    <col min="7" max="7" width="25.57421875" style="0" customWidth="1"/>
    <col min="8" max="8" width="26.421875" style="0" customWidth="1"/>
    <col min="9" max="9" width="15.421875" style="0" customWidth="1"/>
    <col min="11" max="11" width="11.421875" style="0" bestFit="1" customWidth="1"/>
  </cols>
  <sheetData>
    <row r="1" spans="1:8" ht="15.75" customHeight="1">
      <c r="A1" s="74"/>
      <c r="B1" s="74"/>
      <c r="C1" s="74"/>
      <c r="D1" s="75"/>
      <c r="E1" s="75"/>
      <c r="F1" s="75"/>
      <c r="G1" s="75"/>
      <c r="H1" s="76" t="s">
        <v>436</v>
      </c>
    </row>
    <row r="2" spans="1:8" ht="18.75">
      <c r="A2" s="52" t="s">
        <v>101</v>
      </c>
      <c r="B2" s="53"/>
      <c r="C2" s="77"/>
      <c r="D2" s="75"/>
      <c r="E2" s="75"/>
      <c r="F2" s="75"/>
      <c r="G2" s="75"/>
      <c r="H2" s="78"/>
    </row>
    <row r="3" spans="1:8" ht="18.75">
      <c r="A3" s="52" t="s">
        <v>2</v>
      </c>
      <c r="B3" s="53"/>
      <c r="C3" s="77"/>
      <c r="D3" s="75"/>
      <c r="E3" s="75"/>
      <c r="F3" s="75"/>
      <c r="G3" s="75"/>
      <c r="H3" s="78"/>
    </row>
    <row r="4" spans="1:8" ht="15.75">
      <c r="A4" s="74"/>
      <c r="B4" s="74"/>
      <c r="C4" s="74"/>
      <c r="D4" s="75"/>
      <c r="E4" s="75"/>
      <c r="F4" s="75"/>
      <c r="G4" s="75"/>
      <c r="H4" s="76"/>
    </row>
    <row r="5" spans="1:8" ht="27">
      <c r="A5" s="821" t="s">
        <v>437</v>
      </c>
      <c r="B5" s="821"/>
      <c r="C5" s="821"/>
      <c r="D5" s="821"/>
      <c r="E5" s="821"/>
      <c r="F5" s="821"/>
      <c r="G5" s="821"/>
      <c r="H5" s="821"/>
    </row>
    <row r="6" spans="1:8" ht="15.75">
      <c r="A6" s="822" t="s">
        <v>1067</v>
      </c>
      <c r="B6" s="822"/>
      <c r="C6" s="822"/>
      <c r="D6" s="822"/>
      <c r="E6" s="822"/>
      <c r="F6" s="822"/>
      <c r="G6" s="822"/>
      <c r="H6" s="822"/>
    </row>
    <row r="7" spans="1:11" ht="21" thickBot="1">
      <c r="A7" s="74"/>
      <c r="B7" s="74"/>
      <c r="C7" s="74"/>
      <c r="D7" s="75"/>
      <c r="E7" s="75"/>
      <c r="F7" s="75"/>
      <c r="G7" s="75"/>
      <c r="H7" s="79" t="s">
        <v>438</v>
      </c>
      <c r="I7" s="440"/>
      <c r="J7" s="440"/>
      <c r="K7" s="440"/>
    </row>
    <row r="8" spans="1:11" ht="16.5" customHeight="1">
      <c r="A8" s="823"/>
      <c r="B8" s="825" t="s">
        <v>5</v>
      </c>
      <c r="C8" s="825" t="s">
        <v>104</v>
      </c>
      <c r="D8" s="827" t="s">
        <v>1031</v>
      </c>
      <c r="E8" s="827" t="s">
        <v>1032</v>
      </c>
      <c r="F8" s="829" t="s">
        <v>1057</v>
      </c>
      <c r="G8" s="830"/>
      <c r="H8" s="817" t="s">
        <v>1058</v>
      </c>
      <c r="I8" s="440"/>
      <c r="J8" s="440"/>
      <c r="K8" s="440"/>
    </row>
    <row r="9" spans="1:11" ht="65.25" customHeight="1" thickBot="1">
      <c r="A9" s="824"/>
      <c r="B9" s="826"/>
      <c r="C9" s="826"/>
      <c r="D9" s="828"/>
      <c r="E9" s="828"/>
      <c r="F9" s="80" t="s">
        <v>1030</v>
      </c>
      <c r="G9" s="81" t="s">
        <v>7</v>
      </c>
      <c r="H9" s="818"/>
      <c r="I9" s="440"/>
      <c r="J9" s="440"/>
      <c r="K9" s="440"/>
    </row>
    <row r="10" spans="1:11" ht="15.75">
      <c r="A10" s="82">
        <v>1</v>
      </c>
      <c r="B10" s="83" t="s">
        <v>439</v>
      </c>
      <c r="C10" s="84"/>
      <c r="D10" s="85"/>
      <c r="E10" s="85"/>
      <c r="F10" s="85"/>
      <c r="G10" s="85"/>
      <c r="H10" s="86"/>
      <c r="I10" s="440"/>
      <c r="J10" s="440"/>
      <c r="K10" s="440"/>
    </row>
    <row r="11" spans="1:11" ht="15.75">
      <c r="A11" s="87">
        <v>2</v>
      </c>
      <c r="B11" s="88" t="s">
        <v>440</v>
      </c>
      <c r="C11" s="89">
        <v>3001</v>
      </c>
      <c r="D11" s="441">
        <f>SUM(D12:D14)</f>
        <v>677017</v>
      </c>
      <c r="E11" s="441">
        <f>SUM(E12:E14)</f>
        <v>667800</v>
      </c>
      <c r="F11" s="441">
        <f>SUM(F12:F14)</f>
        <v>250426</v>
      </c>
      <c r="G11" s="441">
        <f>SUM(G12:G14)</f>
        <v>137634</v>
      </c>
      <c r="H11" s="428">
        <f>G11/F11</f>
        <v>0.549599482481851</v>
      </c>
      <c r="I11" s="440"/>
      <c r="J11" s="414"/>
      <c r="K11" s="440"/>
    </row>
    <row r="12" spans="1:14" ht="15.75">
      <c r="A12" s="87">
        <v>3</v>
      </c>
      <c r="B12" s="91" t="s">
        <v>441</v>
      </c>
      <c r="C12" s="89">
        <v>3002</v>
      </c>
      <c r="D12" s="90">
        <v>677017</v>
      </c>
      <c r="E12" s="90">
        <v>667800</v>
      </c>
      <c r="F12" s="438">
        <v>250426</v>
      </c>
      <c r="G12" s="90">
        <v>137634</v>
      </c>
      <c r="H12" s="428">
        <f>G12/F12</f>
        <v>0.549599482481851</v>
      </c>
      <c r="I12" s="508"/>
      <c r="J12" s="414"/>
      <c r="K12" s="453"/>
      <c r="L12" s="414"/>
      <c r="M12" s="414"/>
      <c r="N12" s="500"/>
    </row>
    <row r="13" spans="1:12" ht="15.75">
      <c r="A13" s="87">
        <v>4</v>
      </c>
      <c r="B13" s="91" t="s">
        <v>442</v>
      </c>
      <c r="C13" s="89">
        <v>3003</v>
      </c>
      <c r="D13" s="90"/>
      <c r="E13" s="90"/>
      <c r="F13" s="404"/>
      <c r="G13" s="440"/>
      <c r="H13" s="428"/>
      <c r="J13" s="414"/>
      <c r="K13" s="414"/>
      <c r="L13" s="414"/>
    </row>
    <row r="14" spans="1:10" ht="15.75">
      <c r="A14" s="87">
        <v>5</v>
      </c>
      <c r="B14" s="91" t="s">
        <v>443</v>
      </c>
      <c r="C14" s="89">
        <v>3004</v>
      </c>
      <c r="D14" s="90"/>
      <c r="E14" s="90"/>
      <c r="F14" s="404"/>
      <c r="G14" s="90"/>
      <c r="H14" s="428"/>
      <c r="J14" s="414"/>
    </row>
    <row r="15" spans="1:13" ht="15.75">
      <c r="A15" s="87">
        <v>6</v>
      </c>
      <c r="B15" s="88" t="s">
        <v>444</v>
      </c>
      <c r="C15" s="89">
        <v>3005</v>
      </c>
      <c r="D15" s="441">
        <f>SUM(D16:D20)</f>
        <v>636647</v>
      </c>
      <c r="E15" s="441">
        <f>SUM(E16:E20)</f>
        <v>526836</v>
      </c>
      <c r="F15" s="441">
        <f>SUM(F16:F20)</f>
        <v>248919</v>
      </c>
      <c r="G15" s="441">
        <f>SUM(G16:G20)</f>
        <v>200905</v>
      </c>
      <c r="H15" s="428">
        <f>G15/F15</f>
        <v>0.807109943395241</v>
      </c>
      <c r="M15" s="460"/>
    </row>
    <row r="16" spans="1:13" ht="15.75">
      <c r="A16" s="87">
        <v>7</v>
      </c>
      <c r="B16" s="91" t="s">
        <v>445</v>
      </c>
      <c r="C16" s="89">
        <v>3006</v>
      </c>
      <c r="D16" s="90">
        <v>403223</v>
      </c>
      <c r="E16" s="90">
        <v>264850</v>
      </c>
      <c r="F16" s="437">
        <v>119926</v>
      </c>
      <c r="G16" s="457">
        <v>96467</v>
      </c>
      <c r="H16" s="428">
        <f>G16/F16</f>
        <v>0.8043877057518803</v>
      </c>
      <c r="I16" s="414"/>
      <c r="J16" s="414"/>
      <c r="K16" s="414"/>
      <c r="L16" s="414"/>
      <c r="M16" s="458"/>
    </row>
    <row r="17" spans="1:13" ht="15.75">
      <c r="A17" s="87">
        <v>8</v>
      </c>
      <c r="B17" s="91" t="s">
        <v>446</v>
      </c>
      <c r="C17" s="89">
        <v>3007</v>
      </c>
      <c r="D17" s="90">
        <v>189350</v>
      </c>
      <c r="E17" s="90">
        <v>243986</v>
      </c>
      <c r="F17" s="437">
        <v>122493</v>
      </c>
      <c r="G17" s="90">
        <v>88166</v>
      </c>
      <c r="H17" s="428">
        <f>G17/F17</f>
        <v>0.7197635783269248</v>
      </c>
      <c r="I17" s="414"/>
      <c r="K17" s="414"/>
      <c r="M17" s="459"/>
    </row>
    <row r="18" spans="1:13" ht="15.75">
      <c r="A18" s="87">
        <v>9</v>
      </c>
      <c r="B18" s="91" t="s">
        <v>447</v>
      </c>
      <c r="C18" s="89">
        <v>3008</v>
      </c>
      <c r="D18" s="90">
        <v>2072</v>
      </c>
      <c r="E18" s="90">
        <v>3000</v>
      </c>
      <c r="F18" s="437">
        <v>1500</v>
      </c>
      <c r="G18" s="90">
        <f>'Биланс успеха'!G59</f>
        <v>354</v>
      </c>
      <c r="H18" s="428">
        <f>G18/F18</f>
        <v>0.236</v>
      </c>
      <c r="I18" s="414"/>
      <c r="J18" s="414"/>
      <c r="M18" s="460"/>
    </row>
    <row r="19" spans="1:9" ht="15.75">
      <c r="A19" s="87">
        <v>10</v>
      </c>
      <c r="B19" s="91" t="s">
        <v>448</v>
      </c>
      <c r="C19" s="89">
        <v>3009</v>
      </c>
      <c r="D19" s="90"/>
      <c r="E19" s="90"/>
      <c r="F19" s="404"/>
      <c r="G19" s="90"/>
      <c r="H19" s="428"/>
      <c r="I19" s="414"/>
    </row>
    <row r="20" spans="1:9" ht="15.75">
      <c r="A20" s="87">
        <v>11</v>
      </c>
      <c r="B20" s="91" t="s">
        <v>449</v>
      </c>
      <c r="C20" s="89">
        <v>3010</v>
      </c>
      <c r="D20" s="425">
        <v>42002</v>
      </c>
      <c r="E20" s="425">
        <v>15000</v>
      </c>
      <c r="F20" s="426">
        <v>5000</v>
      </c>
      <c r="G20" s="441">
        <v>15918</v>
      </c>
      <c r="H20" s="428">
        <f>G20/F20</f>
        <v>3.1836</v>
      </c>
      <c r="I20" s="414"/>
    </row>
    <row r="21" spans="1:9" ht="15.75">
      <c r="A21" s="87">
        <v>12</v>
      </c>
      <c r="B21" s="88" t="s">
        <v>450</v>
      </c>
      <c r="C21" s="89">
        <v>3011</v>
      </c>
      <c r="D21" s="441">
        <f>IF((D11-D15)&gt;0,D11-D15,0)</f>
        <v>40370</v>
      </c>
      <c r="E21" s="441">
        <f>IF((E11-E15)&gt;0,E11-E15,0)</f>
        <v>140964</v>
      </c>
      <c r="F21" s="441">
        <f>IF((F11-F15)&gt;0,F11-F15,0)</f>
        <v>1507</v>
      </c>
      <c r="G21" s="427">
        <f>IF((G11-G15)&gt;0,G11-G15,0)</f>
        <v>0</v>
      </c>
      <c r="H21" s="428">
        <f>G21/F21</f>
        <v>0</v>
      </c>
      <c r="I21" s="414"/>
    </row>
    <row r="22" spans="1:16" ht="15.75">
      <c r="A22" s="87">
        <v>13</v>
      </c>
      <c r="B22" s="88" t="s">
        <v>451</v>
      </c>
      <c r="C22" s="89">
        <v>3012</v>
      </c>
      <c r="D22" s="441">
        <f>IF((D11-D15)&lt;0,-(D11-D15),0)</f>
        <v>0</v>
      </c>
      <c r="E22" s="441">
        <f>IF((E11-E15)&lt;0,-(E11-E15),0)</f>
        <v>0</v>
      </c>
      <c r="F22" s="441">
        <f>IF((F11-F15)&lt;0,-(F11-F15),0)</f>
        <v>0</v>
      </c>
      <c r="G22" s="427">
        <f>IF((G11-G15)&lt;0,-(G11-G15),0)</f>
        <v>63271</v>
      </c>
      <c r="H22" s="428"/>
      <c r="K22" s="414"/>
      <c r="P22" s="487"/>
    </row>
    <row r="23" spans="1:8" ht="15.75">
      <c r="A23" s="87">
        <v>14</v>
      </c>
      <c r="B23" s="88" t="s">
        <v>452</v>
      </c>
      <c r="C23" s="89"/>
      <c r="D23" s="90"/>
      <c r="E23" s="90"/>
      <c r="F23" s="404"/>
      <c r="G23" s="405"/>
      <c r="H23" s="428"/>
    </row>
    <row r="24" spans="1:9" ht="15.75">
      <c r="A24" s="87">
        <v>15</v>
      </c>
      <c r="B24" s="88" t="s">
        <v>453</v>
      </c>
      <c r="C24" s="89">
        <v>3013</v>
      </c>
      <c r="D24" s="441">
        <f>SUM(D25:D29)</f>
        <v>0</v>
      </c>
      <c r="E24" s="441">
        <f>SUM(E25:E29)</f>
        <v>0</v>
      </c>
      <c r="F24" s="441">
        <f>SUM(F25:F29)</f>
        <v>0</v>
      </c>
      <c r="G24" s="427">
        <f>SUM(G25:G29)</f>
        <v>0</v>
      </c>
      <c r="H24" s="428"/>
      <c r="I24" s="507"/>
    </row>
    <row r="25" spans="1:8" ht="15.75">
      <c r="A25" s="87">
        <v>16</v>
      </c>
      <c r="B25" s="91" t="s">
        <v>454</v>
      </c>
      <c r="C25" s="89">
        <v>3014</v>
      </c>
      <c r="D25" s="90"/>
      <c r="E25" s="90"/>
      <c r="F25" s="404"/>
      <c r="G25" s="405"/>
      <c r="H25" s="428"/>
    </row>
    <row r="26" spans="1:8" ht="31.5">
      <c r="A26" s="87">
        <v>17</v>
      </c>
      <c r="B26" s="91" t="s">
        <v>455</v>
      </c>
      <c r="C26" s="89">
        <v>3015</v>
      </c>
      <c r="D26" s="90"/>
      <c r="E26" s="90"/>
      <c r="F26" s="404"/>
      <c r="G26" s="455"/>
      <c r="H26" s="428"/>
    </row>
    <row r="27" spans="1:8" ht="15.75">
      <c r="A27" s="87">
        <v>18</v>
      </c>
      <c r="B27" s="91" t="s">
        <v>456</v>
      </c>
      <c r="C27" s="89">
        <v>3016</v>
      </c>
      <c r="D27" s="90"/>
      <c r="E27" s="90"/>
      <c r="F27" s="404"/>
      <c r="G27" s="405"/>
      <c r="H27" s="428"/>
    </row>
    <row r="28" spans="1:8" ht="15.75">
      <c r="A28" s="87">
        <v>19</v>
      </c>
      <c r="B28" s="91" t="s">
        <v>457</v>
      </c>
      <c r="C28" s="89">
        <v>3017</v>
      </c>
      <c r="D28" s="90"/>
      <c r="E28" s="90"/>
      <c r="F28" s="404"/>
      <c r="G28" s="405"/>
      <c r="H28" s="428"/>
    </row>
    <row r="29" spans="1:8" ht="15.75">
      <c r="A29" s="87">
        <v>20</v>
      </c>
      <c r="B29" s="91" t="s">
        <v>458</v>
      </c>
      <c r="C29" s="89">
        <v>3018</v>
      </c>
      <c r="D29" s="90"/>
      <c r="E29" s="90"/>
      <c r="F29" s="404"/>
      <c r="G29" s="405"/>
      <c r="H29" s="428"/>
    </row>
    <row r="30" spans="1:8" ht="15.75">
      <c r="A30" s="87">
        <v>21</v>
      </c>
      <c r="B30" s="88" t="s">
        <v>459</v>
      </c>
      <c r="C30" s="89">
        <v>3019</v>
      </c>
      <c r="D30" s="441">
        <f>SUM(D31:D33)</f>
        <v>100101</v>
      </c>
      <c r="E30" s="441">
        <f>SUM(E31:E33)</f>
        <v>126596</v>
      </c>
      <c r="F30" s="441">
        <f>SUM(F31:F33)</f>
        <v>36495</v>
      </c>
      <c r="G30" s="427">
        <f>SUM(G31:G33)</f>
        <v>683</v>
      </c>
      <c r="H30" s="428">
        <f>G30/F30</f>
        <v>0.018714892451020686</v>
      </c>
    </row>
    <row r="31" spans="1:8" ht="15.75">
      <c r="A31" s="87">
        <v>22</v>
      </c>
      <c r="B31" s="91" t="s">
        <v>460</v>
      </c>
      <c r="C31" s="89">
        <v>3020</v>
      </c>
      <c r="D31" s="90"/>
      <c r="E31" s="90"/>
      <c r="F31" s="404"/>
      <c r="G31" s="405"/>
      <c r="H31" s="428"/>
    </row>
    <row r="32" spans="1:8" ht="30" customHeight="1">
      <c r="A32" s="87">
        <v>23</v>
      </c>
      <c r="B32" s="91" t="s">
        <v>461</v>
      </c>
      <c r="C32" s="89">
        <v>3021</v>
      </c>
      <c r="D32" s="90">
        <v>100101</v>
      </c>
      <c r="E32" s="90">
        <v>23160</v>
      </c>
      <c r="F32" s="485">
        <v>21960</v>
      </c>
      <c r="G32" s="456">
        <v>683</v>
      </c>
      <c r="H32" s="428">
        <f>G32/F32</f>
        <v>0.03110200364298725</v>
      </c>
    </row>
    <row r="33" spans="1:8" ht="15.75">
      <c r="A33" s="87">
        <v>24</v>
      </c>
      <c r="B33" s="91" t="s">
        <v>462</v>
      </c>
      <c r="C33" s="89">
        <v>3022</v>
      </c>
      <c r="D33" s="90"/>
      <c r="E33" s="90">
        <v>103436</v>
      </c>
      <c r="F33" s="404">
        <v>14535</v>
      </c>
      <c r="G33" s="455"/>
      <c r="H33" s="428">
        <f>G33/F33</f>
        <v>0</v>
      </c>
    </row>
    <row r="34" spans="1:8" ht="15.75">
      <c r="A34" s="87">
        <v>25</v>
      </c>
      <c r="B34" s="88" t="s">
        <v>463</v>
      </c>
      <c r="C34" s="89">
        <v>3023</v>
      </c>
      <c r="D34" s="441">
        <f>IF((D24-D30)&gt;0,D24-D30,0)</f>
        <v>0</v>
      </c>
      <c r="E34" s="441">
        <f>IF((E24-E30)&gt;0,E24-E30,0)</f>
        <v>0</v>
      </c>
      <c r="F34" s="441">
        <f>IF((F24-F30)&gt;0,F24-F30,0)</f>
        <v>0</v>
      </c>
      <c r="G34" s="427">
        <f>IF((G24-G30)&gt;0,G24-G30,0)</f>
        <v>0</v>
      </c>
      <c r="H34" s="428"/>
    </row>
    <row r="35" spans="1:8" ht="15.75">
      <c r="A35" s="87">
        <v>26</v>
      </c>
      <c r="B35" s="88" t="s">
        <v>464</v>
      </c>
      <c r="C35" s="89">
        <v>3024</v>
      </c>
      <c r="D35" s="441">
        <f>IF((D24-D30)&lt;0,-(D24-D30),0)</f>
        <v>100101</v>
      </c>
      <c r="E35" s="441">
        <f>IF((E24-E30)&lt;0,-(E24-E30),0)</f>
        <v>126596</v>
      </c>
      <c r="F35" s="441">
        <f>IF((F24-F30)&lt;0,-(F24-F30),0)</f>
        <v>36495</v>
      </c>
      <c r="G35" s="427">
        <f>IF((G24-G30)&lt;0,-(G24-G30),0)</f>
        <v>683</v>
      </c>
      <c r="H35" s="428">
        <f>G35/F35</f>
        <v>0.018714892451020686</v>
      </c>
    </row>
    <row r="36" spans="1:8" ht="15.75">
      <c r="A36" s="87">
        <v>27</v>
      </c>
      <c r="B36" s="88" t="s">
        <v>465</v>
      </c>
      <c r="C36" s="89"/>
      <c r="D36" s="425"/>
      <c r="E36" s="425"/>
      <c r="F36" s="426"/>
      <c r="G36" s="427"/>
      <c r="H36" s="428"/>
    </row>
    <row r="37" spans="1:8" ht="15.75">
      <c r="A37" s="87">
        <v>28</v>
      </c>
      <c r="B37" s="88" t="s">
        <v>466</v>
      </c>
      <c r="C37" s="89">
        <v>3025</v>
      </c>
      <c r="D37" s="425"/>
      <c r="E37" s="425"/>
      <c r="F37" s="441">
        <f>F38+F39+F40+F41+F42</f>
        <v>0</v>
      </c>
      <c r="G37" s="427">
        <f>G38+G39+G40+G41+G42</f>
        <v>0</v>
      </c>
      <c r="H37" s="428"/>
    </row>
    <row r="38" spans="1:8" ht="15.75">
      <c r="A38" s="87">
        <v>29</v>
      </c>
      <c r="B38" s="91" t="s">
        <v>467</v>
      </c>
      <c r="C38" s="89">
        <v>3026</v>
      </c>
      <c r="D38" s="90"/>
      <c r="E38" s="90"/>
      <c r="F38" s="404"/>
      <c r="G38" s="405"/>
      <c r="H38" s="428"/>
    </row>
    <row r="39" spans="1:8" ht="15.75">
      <c r="A39" s="87">
        <v>30</v>
      </c>
      <c r="B39" s="91" t="s">
        <v>468</v>
      </c>
      <c r="C39" s="89">
        <v>3027</v>
      </c>
      <c r="D39" s="90"/>
      <c r="E39" s="90"/>
      <c r="F39" s="404"/>
      <c r="G39" s="405"/>
      <c r="H39" s="428"/>
    </row>
    <row r="40" spans="1:8" ht="15.75">
      <c r="A40" s="87">
        <v>31</v>
      </c>
      <c r="B40" s="91" t="s">
        <v>469</v>
      </c>
      <c r="C40" s="89">
        <v>3028</v>
      </c>
      <c r="D40" s="90"/>
      <c r="E40" s="90"/>
      <c r="F40" s="404"/>
      <c r="G40" s="405"/>
      <c r="H40" s="428"/>
    </row>
    <row r="41" spans="1:8" ht="15.75">
      <c r="A41" s="87">
        <v>32</v>
      </c>
      <c r="B41" s="91" t="s">
        <v>470</v>
      </c>
      <c r="C41" s="89">
        <v>3029</v>
      </c>
      <c r="D41" s="90"/>
      <c r="E41" s="90"/>
      <c r="F41" s="404"/>
      <c r="G41" s="405"/>
      <c r="H41" s="428"/>
    </row>
    <row r="42" spans="1:8" ht="15.75">
      <c r="A42" s="87">
        <v>33</v>
      </c>
      <c r="B42" s="91" t="s">
        <v>471</v>
      </c>
      <c r="C42" s="89">
        <v>3030</v>
      </c>
      <c r="D42" s="90"/>
      <c r="E42" s="90"/>
      <c r="F42" s="404"/>
      <c r="G42" s="405"/>
      <c r="H42" s="428"/>
    </row>
    <row r="43" spans="1:8" ht="15.75">
      <c r="A43" s="87">
        <v>34</v>
      </c>
      <c r="B43" s="88" t="s">
        <v>472</v>
      </c>
      <c r="C43" s="89">
        <v>3031</v>
      </c>
      <c r="D43" s="441">
        <f>D44+D45+D46+D47+D48+D49</f>
        <v>9314</v>
      </c>
      <c r="E43" s="441">
        <f>E44+E45+E46+E47+E48+E49</f>
        <v>9314</v>
      </c>
      <c r="F43" s="441">
        <f>F44+F45+F46+F47+F48+F49</f>
        <v>4657</v>
      </c>
      <c r="G43" s="427">
        <f>G44+G45+G46+G47+G48+G49</f>
        <v>2182</v>
      </c>
      <c r="H43" s="428">
        <f>G43/F43</f>
        <v>0.46854197981533174</v>
      </c>
    </row>
    <row r="44" spans="1:8" ht="15.75">
      <c r="A44" s="87">
        <v>35</v>
      </c>
      <c r="B44" s="91" t="s">
        <v>473</v>
      </c>
      <c r="C44" s="89">
        <v>3032</v>
      </c>
      <c r="D44" s="90"/>
      <c r="E44" s="90"/>
      <c r="F44" s="404"/>
      <c r="G44" s="405"/>
      <c r="H44" s="428"/>
    </row>
    <row r="45" spans="1:9" ht="15.75">
      <c r="A45" s="87">
        <v>36</v>
      </c>
      <c r="B45" s="91" t="s">
        <v>474</v>
      </c>
      <c r="C45" s="89">
        <v>3033</v>
      </c>
      <c r="D45" s="90">
        <v>9314</v>
      </c>
      <c r="E45" s="90">
        <v>9314</v>
      </c>
      <c r="F45" s="437">
        <v>4657</v>
      </c>
      <c r="G45" s="90">
        <v>2182</v>
      </c>
      <c r="H45" s="428">
        <f>G45/F45</f>
        <v>0.46854197981533174</v>
      </c>
      <c r="I45" s="414"/>
    </row>
    <row r="46" spans="1:8" ht="15.75">
      <c r="A46" s="87">
        <v>37</v>
      </c>
      <c r="B46" s="91" t="s">
        <v>475</v>
      </c>
      <c r="C46" s="89">
        <v>3034</v>
      </c>
      <c r="D46" s="90"/>
      <c r="E46" s="90"/>
      <c r="F46" s="404"/>
      <c r="G46" s="405"/>
      <c r="H46" s="428"/>
    </row>
    <row r="47" spans="1:8" ht="15.75">
      <c r="A47" s="87">
        <v>38</v>
      </c>
      <c r="B47" s="91" t="s">
        <v>476</v>
      </c>
      <c r="C47" s="89">
        <v>3035</v>
      </c>
      <c r="D47" s="90"/>
      <c r="E47" s="90"/>
      <c r="F47" s="404"/>
      <c r="G47" s="405"/>
      <c r="H47" s="428"/>
    </row>
    <row r="48" spans="1:8" ht="15.75">
      <c r="A48" s="87">
        <v>39</v>
      </c>
      <c r="B48" s="91" t="s">
        <v>477</v>
      </c>
      <c r="C48" s="89">
        <v>3036</v>
      </c>
      <c r="D48" s="90"/>
      <c r="E48" s="90"/>
      <c r="F48" s="404"/>
      <c r="G48" s="405"/>
      <c r="H48" s="428"/>
    </row>
    <row r="49" spans="1:8" ht="15.75">
      <c r="A49" s="87">
        <v>40</v>
      </c>
      <c r="B49" s="91" t="s">
        <v>478</v>
      </c>
      <c r="C49" s="89">
        <v>3037</v>
      </c>
      <c r="D49" s="90"/>
      <c r="E49" s="90"/>
      <c r="F49" s="404"/>
      <c r="G49" s="405"/>
      <c r="H49" s="428"/>
    </row>
    <row r="50" spans="1:8" ht="15.75">
      <c r="A50" s="87">
        <v>41</v>
      </c>
      <c r="B50" s="88" t="s">
        <v>479</v>
      </c>
      <c r="C50" s="89">
        <v>3038</v>
      </c>
      <c r="D50" s="441">
        <f>IF((D37-D43)&gt;0,D37-D43,0)</f>
        <v>0</v>
      </c>
      <c r="E50" s="441">
        <f>IF((E37-E43)&gt;0,E37-E43,0)</f>
        <v>0</v>
      </c>
      <c r="F50" s="441">
        <f>IF((F37-F43)&gt;0,F37-F43,0)</f>
        <v>0</v>
      </c>
      <c r="G50" s="427">
        <f>IF((G37-G43)&gt;0,G37-G43,0)</f>
        <v>0</v>
      </c>
      <c r="H50" s="428"/>
    </row>
    <row r="51" spans="1:8" ht="15.75">
      <c r="A51" s="87">
        <v>42</v>
      </c>
      <c r="B51" s="88" t="s">
        <v>480</v>
      </c>
      <c r="C51" s="89">
        <v>3039</v>
      </c>
      <c r="D51" s="441">
        <f>IF((D37-D43)&lt;0,-(D37-D43),0)</f>
        <v>9314</v>
      </c>
      <c r="E51" s="441">
        <f>IF((E37-E43)&lt;0,-(E37-E43),0)</f>
        <v>9314</v>
      </c>
      <c r="F51" s="441">
        <f>IF((F37-F43)&lt;0,-(F37-F43),0)</f>
        <v>4657</v>
      </c>
      <c r="G51" s="427">
        <f>IF((G37-G43)&lt;0,-(G37-G43),0)</f>
        <v>2182</v>
      </c>
      <c r="H51" s="428">
        <f>G51/F51</f>
        <v>0.46854197981533174</v>
      </c>
    </row>
    <row r="52" spans="1:8" ht="15.75">
      <c r="A52" s="87">
        <v>43</v>
      </c>
      <c r="B52" s="88" t="s">
        <v>481</v>
      </c>
      <c r="C52" s="89">
        <v>3040</v>
      </c>
      <c r="D52" s="441">
        <f>D11+D24+D37</f>
        <v>677017</v>
      </c>
      <c r="E52" s="441">
        <f>E11+E24+E37</f>
        <v>667800</v>
      </c>
      <c r="F52" s="441">
        <f>F11+F24+F37</f>
        <v>250426</v>
      </c>
      <c r="G52" s="427">
        <f>G11+G24+G37</f>
        <v>137634</v>
      </c>
      <c r="H52" s="428">
        <f>G52/F52</f>
        <v>0.549599482481851</v>
      </c>
    </row>
    <row r="53" spans="1:8" ht="15.75">
      <c r="A53" s="87">
        <v>44</v>
      </c>
      <c r="B53" s="88" t="s">
        <v>482</v>
      </c>
      <c r="C53" s="89">
        <v>3041</v>
      </c>
      <c r="D53" s="441">
        <f>D15+D30+D43</f>
        <v>746062</v>
      </c>
      <c r="E53" s="441">
        <f>E15+E30+E43</f>
        <v>662746</v>
      </c>
      <c r="F53" s="427">
        <f>F15+F30+F43</f>
        <v>290071</v>
      </c>
      <c r="G53" s="427">
        <f>G15+G30+G43</f>
        <v>203770</v>
      </c>
      <c r="H53" s="428">
        <f>G53/F53</f>
        <v>0.7024831851512215</v>
      </c>
    </row>
    <row r="54" spans="1:8" ht="15.75">
      <c r="A54" s="87">
        <v>45</v>
      </c>
      <c r="B54" s="88" t="s">
        <v>483</v>
      </c>
      <c r="C54" s="89">
        <v>3042</v>
      </c>
      <c r="D54" s="441">
        <f>IF((D52-D53)&gt;0,D52-D53,0)</f>
        <v>0</v>
      </c>
      <c r="E54" s="441">
        <f>IF((E52-E53)&gt;0,E52-E53,0)</f>
        <v>5054</v>
      </c>
      <c r="F54" s="441">
        <f>IF((F52-F53)&gt;0,F52-F53,0)</f>
        <v>0</v>
      </c>
      <c r="G54" s="427">
        <f>IF((G52-G53)&gt;0,G52-G53,0)</f>
        <v>0</v>
      </c>
      <c r="H54" s="428"/>
    </row>
    <row r="55" spans="1:8" ht="15.75">
      <c r="A55" s="92">
        <v>46</v>
      </c>
      <c r="B55" s="88" t="s">
        <v>484</v>
      </c>
      <c r="C55" s="89">
        <v>3043</v>
      </c>
      <c r="D55" s="441">
        <f>IF((D52-D53)&lt;0,-(D52-D53),0)</f>
        <v>69045</v>
      </c>
      <c r="E55" s="441">
        <f>IF((E52-E53)&lt;0,-(E52-E53),0)</f>
        <v>0</v>
      </c>
      <c r="F55" s="441">
        <f>IF((F52-F53)&lt;0,-(F52-F53),0)</f>
        <v>39645</v>
      </c>
      <c r="G55" s="427">
        <f>IF((G52-G53)&lt;0,-(G52-G53),0)</f>
        <v>66136</v>
      </c>
      <c r="H55" s="428">
        <f>G55/F55</f>
        <v>1.668205322234834</v>
      </c>
    </row>
    <row r="56" spans="1:8" ht="15.75">
      <c r="A56" s="82">
        <v>47</v>
      </c>
      <c r="B56" s="88" t="s">
        <v>485</v>
      </c>
      <c r="C56" s="89">
        <v>3044</v>
      </c>
      <c r="D56" s="425">
        <v>152710</v>
      </c>
      <c r="E56" s="425">
        <v>53134</v>
      </c>
      <c r="F56" s="427">
        <v>53134</v>
      </c>
      <c r="G56" s="427">
        <v>83664</v>
      </c>
      <c r="H56" s="428">
        <f>G56/F56</f>
        <v>1.574585011480408</v>
      </c>
    </row>
    <row r="57" spans="1:8" ht="31.5">
      <c r="A57" s="87">
        <v>48</v>
      </c>
      <c r="B57" s="88" t="s">
        <v>486</v>
      </c>
      <c r="C57" s="89">
        <v>3045</v>
      </c>
      <c r="D57" s="90"/>
      <c r="E57" s="90"/>
      <c r="F57" s="405"/>
      <c r="G57" s="405"/>
      <c r="H57" s="428"/>
    </row>
    <row r="58" spans="1:8" ht="31.5">
      <c r="A58" s="87">
        <v>49</v>
      </c>
      <c r="B58" s="88" t="s">
        <v>487</v>
      </c>
      <c r="C58" s="89">
        <v>3046</v>
      </c>
      <c r="D58" s="93"/>
      <c r="E58" s="93"/>
      <c r="F58" s="406"/>
      <c r="G58" s="406"/>
      <c r="H58" s="428"/>
    </row>
    <row r="59" spans="1:8" ht="41.25" customHeight="1" thickBot="1">
      <c r="A59" s="94">
        <v>50</v>
      </c>
      <c r="B59" s="95" t="s">
        <v>488</v>
      </c>
      <c r="C59" s="96">
        <v>3047</v>
      </c>
      <c r="D59" s="429">
        <f>D54-D55+D56+D57-D58</f>
        <v>83665</v>
      </c>
      <c r="E59" s="429">
        <f>E54-E55+E56+E57-E58</f>
        <v>58188</v>
      </c>
      <c r="F59" s="429">
        <f>F54-F55+F56+F57-F58</f>
        <v>13489</v>
      </c>
      <c r="G59" s="429">
        <f>G54-G55+G56+G57-G58</f>
        <v>17528</v>
      </c>
      <c r="H59" s="428">
        <f>G59/F59</f>
        <v>1.299429164504411</v>
      </c>
    </row>
    <row r="60" spans="1:8" ht="15.75">
      <c r="A60" s="74"/>
      <c r="B60" s="74"/>
      <c r="C60" s="74"/>
      <c r="D60" s="75"/>
      <c r="E60" s="75"/>
      <c r="F60" s="75"/>
      <c r="G60" s="75"/>
      <c r="H60" s="78"/>
    </row>
    <row r="61" spans="1:8" ht="15.75">
      <c r="A61" s="74"/>
      <c r="B61" s="74"/>
      <c r="C61" s="74"/>
      <c r="D61" s="75"/>
      <c r="E61" s="75"/>
      <c r="F61" s="75"/>
      <c r="G61" s="454"/>
      <c r="H61" s="78"/>
    </row>
    <row r="62" spans="1:8" ht="15.75">
      <c r="A62" s="819" t="s">
        <v>1452</v>
      </c>
      <c r="B62" s="819"/>
      <c r="C62" s="74"/>
      <c r="D62" s="75"/>
      <c r="E62" s="75"/>
      <c r="F62" s="820" t="s">
        <v>489</v>
      </c>
      <c r="G62" s="820"/>
      <c r="H62" s="820"/>
    </row>
    <row r="63" spans="1:8" ht="15.75">
      <c r="A63" s="74"/>
      <c r="B63" s="74"/>
      <c r="C63" s="74"/>
      <c r="D63" s="75" t="s">
        <v>490</v>
      </c>
      <c r="E63" s="75"/>
      <c r="F63" s="75"/>
      <c r="G63" s="75"/>
      <c r="H63" s="78"/>
    </row>
    <row r="64" spans="1:8" ht="15.75">
      <c r="A64" s="74"/>
      <c r="B64" s="74"/>
      <c r="C64" s="74"/>
      <c r="D64" s="75"/>
      <c r="E64" s="75"/>
      <c r="F64" s="75"/>
      <c r="G64" s="75"/>
      <c r="H64" s="78"/>
    </row>
    <row r="66" ht="15">
      <c r="H66" s="414"/>
    </row>
  </sheetData>
  <sheetProtection/>
  <mergeCells count="11">
    <mergeCell ref="F8:G8"/>
    <mergeCell ref="H8:H9"/>
    <mergeCell ref="A62:B62"/>
    <mergeCell ref="F62:H62"/>
    <mergeCell ref="A5:H5"/>
    <mergeCell ref="A6:H6"/>
    <mergeCell ref="A8:A9"/>
    <mergeCell ref="B8:B9"/>
    <mergeCell ref="C8:C9"/>
    <mergeCell ref="D8:D9"/>
    <mergeCell ref="E8:E9"/>
  </mergeCells>
  <printOptions/>
  <pageMargins left="0.11811023622047245" right="0.11811023622047245" top="0" bottom="0" header="0.31496062992125984" footer="0"/>
  <pageSetup fitToHeight="0" horizontalDpi="600" verticalDpi="600" orientation="landscape" paperSize="9" scale="61"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tabColor rgb="FFFF0000"/>
  </sheetPr>
  <dimension ref="A1:N45"/>
  <sheetViews>
    <sheetView tabSelected="1" view="pageBreakPreview" zoomScale="60" zoomScaleNormal="70" zoomScalePageLayoutView="0" workbookViewId="0" topLeftCell="A1">
      <selection activeCell="A88" sqref="A88"/>
    </sheetView>
  </sheetViews>
  <sheetFormatPr defaultColWidth="9.140625" defaultRowHeight="15"/>
  <cols>
    <col min="1" max="1" width="25.7109375" style="0" customWidth="1"/>
    <col min="2" max="2" width="95.57421875" style="0" customWidth="1"/>
    <col min="3" max="4" width="20.7109375" style="0" customWidth="1"/>
    <col min="5" max="5" width="21.7109375" style="0" customWidth="1"/>
    <col min="6" max="6" width="20.7109375" style="0" customWidth="1"/>
    <col min="7" max="7" width="21.28125" style="0" customWidth="1"/>
    <col min="9" max="9" width="17.421875" style="0" bestFit="1" customWidth="1"/>
    <col min="10" max="10" width="15.7109375" style="0" customWidth="1"/>
  </cols>
  <sheetData>
    <row r="1" spans="1:7" ht="15.75">
      <c r="A1" s="1"/>
      <c r="B1" s="1"/>
      <c r="C1" s="98"/>
      <c r="D1" s="54"/>
      <c r="E1" s="54"/>
      <c r="F1" s="54"/>
      <c r="G1" s="99" t="s">
        <v>491</v>
      </c>
    </row>
    <row r="2" spans="1:7" ht="18.75">
      <c r="A2" s="52" t="s">
        <v>101</v>
      </c>
      <c r="B2" s="53"/>
      <c r="C2" s="100"/>
      <c r="D2" s="101"/>
      <c r="E2" s="101"/>
      <c r="F2" s="101"/>
      <c r="G2" s="102"/>
    </row>
    <row r="3" spans="1:7" ht="18.75">
      <c r="A3" s="52" t="s">
        <v>2</v>
      </c>
      <c r="B3" s="53"/>
      <c r="C3" s="100"/>
      <c r="D3" s="101"/>
      <c r="E3" s="101"/>
      <c r="F3" s="101"/>
      <c r="G3" s="102"/>
    </row>
    <row r="4" spans="1:7" ht="20.25">
      <c r="A4" s="832" t="s">
        <v>492</v>
      </c>
      <c r="B4" s="832"/>
      <c r="C4" s="832"/>
      <c r="D4" s="832"/>
      <c r="E4" s="832"/>
      <c r="F4" s="832"/>
      <c r="G4" s="832"/>
    </row>
    <row r="5" spans="1:7" ht="19.5" thickBot="1">
      <c r="A5" s="1"/>
      <c r="B5" s="5"/>
      <c r="C5" s="3"/>
      <c r="D5" s="2"/>
      <c r="E5" s="2"/>
      <c r="F5" s="2"/>
      <c r="G5" s="103" t="s">
        <v>493</v>
      </c>
    </row>
    <row r="6" spans="1:7" ht="16.5" thickBot="1">
      <c r="A6" s="833" t="s">
        <v>494</v>
      </c>
      <c r="B6" s="834" t="s">
        <v>495</v>
      </c>
      <c r="C6" s="807" t="s">
        <v>1031</v>
      </c>
      <c r="D6" s="807" t="s">
        <v>1032</v>
      </c>
      <c r="E6" s="835" t="s">
        <v>1048</v>
      </c>
      <c r="F6" s="809"/>
      <c r="G6" s="836" t="s">
        <v>1059</v>
      </c>
    </row>
    <row r="7" spans="1:7" ht="60.75" customHeight="1" thickBot="1">
      <c r="A7" s="833"/>
      <c r="B7" s="834"/>
      <c r="C7" s="807"/>
      <c r="D7" s="807"/>
      <c r="E7" s="104" t="s">
        <v>1030</v>
      </c>
      <c r="F7" s="475" t="s">
        <v>7</v>
      </c>
      <c r="G7" s="836"/>
    </row>
    <row r="8" spans="1:7" ht="37.5">
      <c r="A8" s="105" t="s">
        <v>496</v>
      </c>
      <c r="B8" s="106" t="s">
        <v>497</v>
      </c>
      <c r="C8" s="85">
        <v>104872331</v>
      </c>
      <c r="D8" s="107">
        <v>126483834</v>
      </c>
      <c r="E8" s="372">
        <v>63241917</v>
      </c>
      <c r="F8" s="509">
        <v>43149844</v>
      </c>
      <c r="G8" s="108">
        <f aca="true" t="shared" si="0" ref="G8:G39">F8/E8</f>
        <v>0.6822981662621012</v>
      </c>
    </row>
    <row r="9" spans="1:7" ht="37.5">
      <c r="A9" s="109" t="s">
        <v>498</v>
      </c>
      <c r="B9" s="110" t="s">
        <v>499</v>
      </c>
      <c r="C9" s="374">
        <v>145968366</v>
      </c>
      <c r="D9" s="111">
        <v>180433429</v>
      </c>
      <c r="E9" s="371">
        <v>90216714</v>
      </c>
      <c r="F9" s="374">
        <v>61554699</v>
      </c>
      <c r="G9" s="108">
        <f t="shared" si="0"/>
        <v>0.6822981714895978</v>
      </c>
    </row>
    <row r="10" spans="1:7" ht="37.5">
      <c r="A10" s="109" t="s">
        <v>500</v>
      </c>
      <c r="B10" s="110" t="s">
        <v>501</v>
      </c>
      <c r="C10" s="374">
        <v>170946362</v>
      </c>
      <c r="D10" s="111">
        <v>211377762</v>
      </c>
      <c r="E10" s="371">
        <v>105688880</v>
      </c>
      <c r="F10" s="374">
        <v>71803666</v>
      </c>
      <c r="G10" s="108">
        <f t="shared" si="0"/>
        <v>0.6793871408231406</v>
      </c>
    </row>
    <row r="11" spans="1:7" ht="18.75">
      <c r="A11" s="109" t="s">
        <v>502</v>
      </c>
      <c r="B11" s="110" t="s">
        <v>503</v>
      </c>
      <c r="C11" s="374">
        <v>131</v>
      </c>
      <c r="D11" s="111">
        <v>146</v>
      </c>
      <c r="E11" s="371">
        <v>149</v>
      </c>
      <c r="F11" s="374">
        <v>126</v>
      </c>
      <c r="G11" s="108">
        <f t="shared" si="0"/>
        <v>0.8456375838926175</v>
      </c>
    </row>
    <row r="12" spans="1:7" ht="18.75">
      <c r="A12" s="109" t="s">
        <v>504</v>
      </c>
      <c r="B12" s="112" t="s">
        <v>505</v>
      </c>
      <c r="C12" s="374">
        <v>130</v>
      </c>
      <c r="D12" s="111">
        <v>145</v>
      </c>
      <c r="E12" s="373">
        <v>148</v>
      </c>
      <c r="F12" s="374">
        <v>125</v>
      </c>
      <c r="G12" s="108">
        <f t="shared" si="0"/>
        <v>0.8445945945945946</v>
      </c>
    </row>
    <row r="13" spans="1:7" ht="18.75">
      <c r="A13" s="109" t="s">
        <v>506</v>
      </c>
      <c r="B13" s="112" t="s">
        <v>507</v>
      </c>
      <c r="C13" s="374">
        <v>1</v>
      </c>
      <c r="D13" s="111">
        <v>1</v>
      </c>
      <c r="E13" s="373">
        <v>1</v>
      </c>
      <c r="F13" s="374">
        <v>1</v>
      </c>
      <c r="G13" s="108">
        <f t="shared" si="0"/>
        <v>1</v>
      </c>
    </row>
    <row r="14" spans="1:7" ht="18.75">
      <c r="A14" s="109" t="s">
        <v>508</v>
      </c>
      <c r="B14" s="113" t="s">
        <v>509</v>
      </c>
      <c r="C14" s="111"/>
      <c r="D14" s="111"/>
      <c r="E14" s="373"/>
      <c r="F14" s="374"/>
      <c r="G14" s="108"/>
    </row>
    <row r="15" spans="1:7" ht="18.75">
      <c r="A15" s="109" t="s">
        <v>510</v>
      </c>
      <c r="B15" s="113" t="s">
        <v>511</v>
      </c>
      <c r="C15" s="114"/>
      <c r="D15" s="114"/>
      <c r="E15" s="373"/>
      <c r="F15" s="374"/>
      <c r="G15" s="108"/>
    </row>
    <row r="16" spans="1:14" ht="18.75">
      <c r="A16" s="109" t="s">
        <v>512</v>
      </c>
      <c r="B16" s="113" t="s">
        <v>513</v>
      </c>
      <c r="C16" s="114"/>
      <c r="D16" s="114"/>
      <c r="E16" s="373"/>
      <c r="F16" s="374"/>
      <c r="G16" s="108"/>
      <c r="I16" s="460"/>
      <c r="N16" t="s">
        <v>1022</v>
      </c>
    </row>
    <row r="17" spans="1:7" ht="18.75">
      <c r="A17" s="109" t="s">
        <v>514</v>
      </c>
      <c r="B17" s="113" t="s">
        <v>515</v>
      </c>
      <c r="C17" s="114"/>
      <c r="D17" s="114"/>
      <c r="E17" s="373"/>
      <c r="F17" s="374"/>
      <c r="G17" s="108"/>
    </row>
    <row r="18" spans="1:7" ht="18.75">
      <c r="A18" s="109" t="s">
        <v>516</v>
      </c>
      <c r="B18" s="115" t="s">
        <v>517</v>
      </c>
      <c r="C18" s="374">
        <v>9424968.21</v>
      </c>
      <c r="D18" s="117">
        <v>11000</v>
      </c>
      <c r="E18" s="371">
        <v>5500000</v>
      </c>
      <c r="F18" s="374">
        <v>4621475</v>
      </c>
      <c r="G18" s="108">
        <f t="shared" si="0"/>
        <v>0.8402681818181819</v>
      </c>
    </row>
    <row r="19" spans="1:7" ht="18.75">
      <c r="A19" s="109" t="s">
        <v>518</v>
      </c>
      <c r="B19" s="116" t="s">
        <v>519</v>
      </c>
      <c r="C19" s="433">
        <v>12</v>
      </c>
      <c r="D19" s="431">
        <v>14</v>
      </c>
      <c r="E19" s="432">
        <v>14</v>
      </c>
      <c r="F19" s="433">
        <v>12</v>
      </c>
      <c r="G19" s="108">
        <f t="shared" si="0"/>
        <v>0.8571428571428571</v>
      </c>
    </row>
    <row r="20" spans="1:10" ht="18.75">
      <c r="A20" s="109" t="s">
        <v>520</v>
      </c>
      <c r="B20" s="430" t="s">
        <v>521</v>
      </c>
      <c r="C20" s="436"/>
      <c r="D20" s="436"/>
      <c r="E20" s="436"/>
      <c r="F20" s="404"/>
      <c r="G20" s="108"/>
      <c r="J20" t="s">
        <v>1023</v>
      </c>
    </row>
    <row r="21" spans="1:11" ht="18.75">
      <c r="A21" s="109" t="s">
        <v>522</v>
      </c>
      <c r="B21" s="113" t="s">
        <v>523</v>
      </c>
      <c r="C21" s="434"/>
      <c r="D21" s="434"/>
      <c r="E21" s="435"/>
      <c r="F21" s="85"/>
      <c r="G21" s="108"/>
      <c r="K21" t="s">
        <v>1025</v>
      </c>
    </row>
    <row r="22" spans="1:7" ht="18.75">
      <c r="A22" s="109" t="s">
        <v>524</v>
      </c>
      <c r="B22" s="115" t="s">
        <v>525</v>
      </c>
      <c r="C22" s="117"/>
      <c r="D22" s="117"/>
      <c r="E22" s="373"/>
      <c r="F22" s="374"/>
      <c r="G22" s="108"/>
    </row>
    <row r="23" spans="1:7" ht="18.75">
      <c r="A23" s="109" t="s">
        <v>526</v>
      </c>
      <c r="B23" s="115" t="s">
        <v>527</v>
      </c>
      <c r="C23" s="117"/>
      <c r="D23" s="117"/>
      <c r="E23" s="373"/>
      <c r="F23" s="374"/>
      <c r="G23" s="108"/>
    </row>
    <row r="24" spans="1:7" ht="18.75">
      <c r="A24" s="109" t="s">
        <v>528</v>
      </c>
      <c r="B24" s="115" t="s">
        <v>529</v>
      </c>
      <c r="C24" s="117"/>
      <c r="D24" s="117"/>
      <c r="E24" s="371"/>
      <c r="F24" s="374"/>
      <c r="G24" s="108"/>
    </row>
    <row r="25" spans="1:10" ht="18.75">
      <c r="A25" s="109" t="s">
        <v>530</v>
      </c>
      <c r="B25" s="115" t="s">
        <v>531</v>
      </c>
      <c r="C25" s="117"/>
      <c r="D25" s="117"/>
      <c r="E25" s="371"/>
      <c r="F25" s="374"/>
      <c r="G25" s="108"/>
      <c r="J25" t="s">
        <v>1024</v>
      </c>
    </row>
    <row r="26" spans="1:7" ht="18.75">
      <c r="A26" s="109" t="s">
        <v>532</v>
      </c>
      <c r="B26" s="115" t="s">
        <v>533</v>
      </c>
      <c r="C26" s="374">
        <v>1234177</v>
      </c>
      <c r="D26" s="117">
        <v>1234000</v>
      </c>
      <c r="E26" s="371">
        <v>618000</v>
      </c>
      <c r="F26" s="374">
        <v>511006</v>
      </c>
      <c r="G26" s="108">
        <f t="shared" si="0"/>
        <v>0.8268705501618123</v>
      </c>
    </row>
    <row r="27" spans="1:7" ht="18.75">
      <c r="A27" s="109" t="s">
        <v>534</v>
      </c>
      <c r="B27" s="115" t="s">
        <v>535</v>
      </c>
      <c r="C27" s="374">
        <v>3</v>
      </c>
      <c r="D27" s="117">
        <v>3</v>
      </c>
      <c r="E27" s="371">
        <v>3</v>
      </c>
      <c r="F27" s="374">
        <v>3</v>
      </c>
      <c r="G27" s="108">
        <f t="shared" si="0"/>
        <v>1</v>
      </c>
    </row>
    <row r="28" spans="1:7" ht="18.75">
      <c r="A28" s="109" t="s">
        <v>536</v>
      </c>
      <c r="B28" s="115" t="s">
        <v>537</v>
      </c>
      <c r="C28" s="374">
        <v>4607785</v>
      </c>
      <c r="D28" s="117">
        <v>5400000</v>
      </c>
      <c r="E28" s="371">
        <v>2700000</v>
      </c>
      <c r="F28" s="374">
        <v>1408870</v>
      </c>
      <c r="G28" s="108">
        <f t="shared" si="0"/>
        <v>0.5218037037037037</v>
      </c>
    </row>
    <row r="29" spans="1:7" ht="18.75">
      <c r="A29" s="109" t="s">
        <v>538</v>
      </c>
      <c r="B29" s="115" t="s">
        <v>539</v>
      </c>
      <c r="C29" s="374">
        <v>25806</v>
      </c>
      <c r="D29" s="117">
        <v>150000</v>
      </c>
      <c r="E29" s="371">
        <v>76000</v>
      </c>
      <c r="F29" s="374">
        <v>10702</v>
      </c>
      <c r="G29" s="108">
        <f t="shared" si="0"/>
        <v>0.1408157894736842</v>
      </c>
    </row>
    <row r="30" spans="1:7" ht="27.75" customHeight="1">
      <c r="A30" s="118" t="s">
        <v>540</v>
      </c>
      <c r="B30" s="378" t="s">
        <v>541</v>
      </c>
      <c r="C30" s="374"/>
      <c r="D30" s="117">
        <v>150000</v>
      </c>
      <c r="E30" s="371">
        <v>76000</v>
      </c>
      <c r="F30" s="374"/>
      <c r="G30" s="108">
        <f t="shared" si="0"/>
        <v>0</v>
      </c>
    </row>
    <row r="31" spans="1:9" ht="18.75">
      <c r="A31" s="109" t="s">
        <v>542</v>
      </c>
      <c r="B31" s="115" t="s">
        <v>543</v>
      </c>
      <c r="C31" s="374">
        <v>1109354</v>
      </c>
      <c r="D31" s="117">
        <v>1320000</v>
      </c>
      <c r="E31" s="371">
        <v>330000</v>
      </c>
      <c r="F31" s="503">
        <v>1371194</v>
      </c>
      <c r="G31" s="108">
        <f t="shared" si="0"/>
        <v>4.155133333333334</v>
      </c>
      <c r="I31" s="449"/>
    </row>
    <row r="32" spans="1:9" ht="18.75">
      <c r="A32" s="109" t="s">
        <v>544</v>
      </c>
      <c r="B32" s="115" t="s">
        <v>545</v>
      </c>
      <c r="C32" s="374">
        <v>4</v>
      </c>
      <c r="D32" s="117">
        <v>4</v>
      </c>
      <c r="E32" s="377">
        <v>1</v>
      </c>
      <c r="F32" s="374">
        <v>4</v>
      </c>
      <c r="G32" s="108">
        <f t="shared" si="0"/>
        <v>4</v>
      </c>
      <c r="I32" s="449"/>
    </row>
    <row r="33" spans="1:9" ht="18.75">
      <c r="A33" s="109" t="s">
        <v>546</v>
      </c>
      <c r="B33" s="115" t="s">
        <v>547</v>
      </c>
      <c r="C33" s="374"/>
      <c r="D33" s="117"/>
      <c r="E33" s="371"/>
      <c r="F33" s="374"/>
      <c r="G33" s="108"/>
      <c r="I33" s="449"/>
    </row>
    <row r="34" spans="1:9" ht="18.75">
      <c r="A34" s="109" t="s">
        <v>548</v>
      </c>
      <c r="B34" s="115" t="s">
        <v>549</v>
      </c>
      <c r="C34" s="374">
        <v>1237685</v>
      </c>
      <c r="D34" s="117">
        <v>2954000</v>
      </c>
      <c r="E34" s="371">
        <v>1300000</v>
      </c>
      <c r="F34" s="503">
        <v>1211265</v>
      </c>
      <c r="G34" s="108">
        <f t="shared" si="0"/>
        <v>0.9317423076923077</v>
      </c>
      <c r="I34" s="449"/>
    </row>
    <row r="35" spans="1:10" ht="18.75">
      <c r="A35" s="109" t="s">
        <v>550</v>
      </c>
      <c r="B35" s="115" t="s">
        <v>545</v>
      </c>
      <c r="C35" s="374">
        <v>9</v>
      </c>
      <c r="D35" s="117">
        <v>23</v>
      </c>
      <c r="E35" s="371">
        <v>11</v>
      </c>
      <c r="F35" s="374"/>
      <c r="G35" s="108">
        <f t="shared" si="0"/>
        <v>0</v>
      </c>
      <c r="I35" s="506"/>
      <c r="J35" s="450"/>
    </row>
    <row r="36" spans="1:10" ht="18.75">
      <c r="A36" s="109" t="s">
        <v>551</v>
      </c>
      <c r="B36" s="115" t="s">
        <v>552</v>
      </c>
      <c r="C36" s="374"/>
      <c r="D36" s="117"/>
      <c r="E36" s="371"/>
      <c r="F36" s="374"/>
      <c r="G36" s="108"/>
      <c r="I36" s="449"/>
      <c r="J36" s="449"/>
    </row>
    <row r="37" spans="1:10" ht="18.75">
      <c r="A37" s="109" t="s">
        <v>553</v>
      </c>
      <c r="B37" s="115" t="s">
        <v>554</v>
      </c>
      <c r="C37" s="374">
        <v>6640523</v>
      </c>
      <c r="D37" s="117">
        <v>8000000</v>
      </c>
      <c r="E37" s="371">
        <v>7500000</v>
      </c>
      <c r="F37" s="374"/>
      <c r="G37" s="473">
        <f t="shared" si="0"/>
        <v>0</v>
      </c>
      <c r="I37" s="449"/>
      <c r="J37" s="449"/>
    </row>
    <row r="38" spans="1:10" ht="18.75">
      <c r="A38" s="109" t="s">
        <v>555</v>
      </c>
      <c r="B38" s="115" t="s">
        <v>556</v>
      </c>
      <c r="C38" s="374"/>
      <c r="D38" s="117"/>
      <c r="E38" s="376"/>
      <c r="F38" s="504"/>
      <c r="G38" s="474"/>
      <c r="I38" s="449"/>
      <c r="J38" s="449"/>
    </row>
    <row r="39" spans="1:10" ht="19.5" thickBot="1">
      <c r="A39" s="109" t="s">
        <v>557</v>
      </c>
      <c r="B39" s="119" t="s">
        <v>558</v>
      </c>
      <c r="C39" s="375">
        <v>1605749</v>
      </c>
      <c r="D39" s="120">
        <v>2400000</v>
      </c>
      <c r="E39" s="375">
        <v>1200000</v>
      </c>
      <c r="F39" s="472">
        <v>334567</v>
      </c>
      <c r="G39" s="505">
        <f t="shared" si="0"/>
        <v>0.2788058333333333</v>
      </c>
      <c r="I39" s="449"/>
      <c r="J39" s="449"/>
    </row>
    <row r="40" spans="1:10" ht="18.75">
      <c r="A40" s="121"/>
      <c r="B40" s="122" t="s">
        <v>559</v>
      </c>
      <c r="C40" s="123"/>
      <c r="D40" s="121"/>
      <c r="E40" s="121"/>
      <c r="F40" s="121"/>
      <c r="G40" s="124"/>
      <c r="I40" s="449"/>
      <c r="J40" s="449"/>
    </row>
    <row r="41" spans="1:9" ht="18.75">
      <c r="A41" s="121"/>
      <c r="B41" s="831" t="s">
        <v>560</v>
      </c>
      <c r="C41" s="831"/>
      <c r="D41" s="831"/>
      <c r="E41" s="831"/>
      <c r="F41" s="121"/>
      <c r="G41" s="124"/>
      <c r="I41" s="449"/>
    </row>
    <row r="42" spans="1:7" ht="15.75">
      <c r="A42" s="72"/>
      <c r="B42" s="125"/>
      <c r="C42" s="126"/>
      <c r="D42" s="72"/>
      <c r="E42" s="72"/>
      <c r="F42" s="72"/>
      <c r="G42" s="127"/>
    </row>
    <row r="43" spans="1:7" ht="15.75">
      <c r="A43" s="819" t="s">
        <v>1452</v>
      </c>
      <c r="B43" s="819"/>
      <c r="C43" s="75" t="s">
        <v>490</v>
      </c>
      <c r="D43" s="820" t="s">
        <v>561</v>
      </c>
      <c r="E43" s="820"/>
      <c r="F43" s="820"/>
      <c r="G43" s="820"/>
    </row>
    <row r="44" spans="1:7" ht="15.75">
      <c r="A44" s="74"/>
      <c r="B44" s="74"/>
      <c r="D44" s="54"/>
      <c r="E44" s="75"/>
      <c r="F44" s="75"/>
      <c r="G44" s="128"/>
    </row>
    <row r="45" spans="1:7" ht="15.75">
      <c r="A45" s="72"/>
      <c r="B45" s="125"/>
      <c r="C45" s="126"/>
      <c r="D45" s="72"/>
      <c r="E45" s="72"/>
      <c r="F45" s="72"/>
      <c r="G45" s="127"/>
    </row>
  </sheetData>
  <sheetProtection/>
  <mergeCells count="10">
    <mergeCell ref="B41:E41"/>
    <mergeCell ref="A43:B43"/>
    <mergeCell ref="D43:G43"/>
    <mergeCell ref="A4:G4"/>
    <mergeCell ref="A6:A7"/>
    <mergeCell ref="B6:B7"/>
    <mergeCell ref="C6:C7"/>
    <mergeCell ref="D6:D7"/>
    <mergeCell ref="E6:F6"/>
    <mergeCell ref="G6:G7"/>
  </mergeCells>
  <printOptions/>
  <pageMargins left="0.11811023622047245" right="0.11811023622047245" top="0.7480314960629921" bottom="0.7480314960629921" header="0.31496062992125984" footer="0.31496062992125984"/>
  <pageSetup fitToWidth="0"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F29"/>
  <sheetViews>
    <sheetView tabSelected="1" view="pageBreakPreview" zoomScale="60" zoomScalePageLayoutView="0" workbookViewId="0" topLeftCell="B1">
      <selection activeCell="A88" sqref="A88"/>
    </sheetView>
  </sheetViews>
  <sheetFormatPr defaultColWidth="9.140625" defaultRowHeight="15"/>
  <cols>
    <col min="1" max="1" width="25.7109375" style="0" customWidth="1"/>
    <col min="2" max="2" width="95.57421875" style="0" customWidth="1"/>
    <col min="3" max="3" width="41.7109375" style="0" customWidth="1"/>
    <col min="4" max="4" width="43.57421875" style="0" customWidth="1"/>
    <col min="5" max="5" width="35.00390625" style="0" customWidth="1"/>
    <col min="6" max="6" width="14.7109375" style="0" customWidth="1"/>
  </cols>
  <sheetData>
    <row r="1" spans="1:6" ht="15.75">
      <c r="A1" s="1"/>
      <c r="B1" s="1"/>
      <c r="C1" s="1"/>
      <c r="D1" s="1"/>
      <c r="E1" s="129" t="s">
        <v>562</v>
      </c>
      <c r="F1" s="130"/>
    </row>
    <row r="2" spans="1:6" ht="15.75">
      <c r="A2" s="5" t="s">
        <v>101</v>
      </c>
      <c r="B2" s="53"/>
      <c r="C2" s="131"/>
      <c r="D2" s="131"/>
      <c r="E2" s="132"/>
      <c r="F2" s="132"/>
    </row>
    <row r="3" spans="1:6" ht="15.75">
      <c r="A3" s="5" t="s">
        <v>2</v>
      </c>
      <c r="B3" s="53"/>
      <c r="C3" s="131"/>
      <c r="D3" s="131"/>
      <c r="E3" s="132"/>
      <c r="F3" s="132"/>
    </row>
    <row r="4" spans="1:6" ht="15.75">
      <c r="A4" s="1"/>
      <c r="B4" s="1"/>
      <c r="C4" s="1"/>
      <c r="D4" s="1"/>
      <c r="E4" s="130"/>
      <c r="F4" s="130"/>
    </row>
    <row r="5" spans="1:6" ht="15.75">
      <c r="A5" s="1"/>
      <c r="B5" s="1"/>
      <c r="C5" s="1"/>
      <c r="D5" s="1"/>
      <c r="E5" s="130"/>
      <c r="F5" s="130"/>
    </row>
    <row r="6" spans="1:6" ht="15.75">
      <c r="A6" s="838" t="s">
        <v>563</v>
      </c>
      <c r="B6" s="838"/>
      <c r="C6" s="838"/>
      <c r="D6" s="838"/>
      <c r="E6" s="838"/>
      <c r="F6" s="165"/>
    </row>
    <row r="7" spans="1:6" ht="16.5" thickBot="1">
      <c r="A7" s="1"/>
      <c r="B7" s="167"/>
      <c r="C7" s="167"/>
      <c r="D7" s="167"/>
      <c r="E7" s="167"/>
      <c r="F7" s="133"/>
    </row>
    <row r="8" spans="1:6" ht="16.5" thickBot="1">
      <c r="A8" s="839" t="s">
        <v>494</v>
      </c>
      <c r="B8" s="840" t="s">
        <v>564</v>
      </c>
      <c r="C8" s="841" t="s">
        <v>565</v>
      </c>
      <c r="D8" s="841" t="s">
        <v>566</v>
      </c>
      <c r="E8" s="810" t="s">
        <v>567</v>
      </c>
      <c r="F8" s="387"/>
    </row>
    <row r="9" spans="1:6" ht="16.5" thickBot="1">
      <c r="A9" s="839"/>
      <c r="B9" s="840"/>
      <c r="C9" s="841"/>
      <c r="D9" s="841"/>
      <c r="E9" s="810"/>
      <c r="F9" s="388"/>
    </row>
    <row r="10" spans="1:6" ht="15.75">
      <c r="A10" s="389"/>
      <c r="B10" s="422" t="s">
        <v>1026</v>
      </c>
      <c r="C10" s="390">
        <v>130</v>
      </c>
      <c r="D10" s="390">
        <v>1</v>
      </c>
      <c r="E10" s="340">
        <v>12</v>
      </c>
      <c r="F10" s="388"/>
    </row>
    <row r="11" spans="1:6" ht="15.75">
      <c r="A11" s="177" t="s">
        <v>496</v>
      </c>
      <c r="B11" s="391" t="s">
        <v>568</v>
      </c>
      <c r="C11" s="392"/>
      <c r="D11" s="392"/>
      <c r="E11" s="393"/>
      <c r="F11" s="130"/>
    </row>
    <row r="12" spans="1:6" ht="15.75">
      <c r="A12" s="177" t="s">
        <v>498</v>
      </c>
      <c r="B12" s="407" t="s">
        <v>1019</v>
      </c>
      <c r="C12" s="395">
        <v>1</v>
      </c>
      <c r="D12" s="392"/>
      <c r="E12" s="393"/>
      <c r="F12" s="130"/>
    </row>
    <row r="13" spans="1:6" ht="15.75">
      <c r="A13" s="177" t="s">
        <v>500</v>
      </c>
      <c r="B13" s="408" t="s">
        <v>1069</v>
      </c>
      <c r="C13" s="395">
        <v>2</v>
      </c>
      <c r="D13" s="392"/>
      <c r="E13" s="393"/>
      <c r="F13" s="130"/>
    </row>
    <row r="14" spans="1:6" ht="15.75">
      <c r="A14" s="177" t="s">
        <v>502</v>
      </c>
      <c r="B14" s="394" t="s">
        <v>1070</v>
      </c>
      <c r="C14" s="395">
        <v>1</v>
      </c>
      <c r="D14" s="392"/>
      <c r="E14" s="393"/>
      <c r="F14" s="130"/>
    </row>
    <row r="15" spans="1:6" ht="15.75">
      <c r="A15" s="177" t="s">
        <v>569</v>
      </c>
      <c r="B15" s="394" t="s">
        <v>1071</v>
      </c>
      <c r="C15" s="395">
        <v>1</v>
      </c>
      <c r="D15" s="392"/>
      <c r="E15" s="393"/>
      <c r="F15" s="130"/>
    </row>
    <row r="16" spans="1:6" ht="15.75">
      <c r="A16" s="396"/>
      <c r="B16" s="394"/>
      <c r="C16" s="392"/>
      <c r="D16" s="392"/>
      <c r="E16" s="393"/>
      <c r="F16" s="130"/>
    </row>
    <row r="17" spans="1:6" ht="15.75">
      <c r="A17" s="177" t="s">
        <v>570</v>
      </c>
      <c r="B17" s="391" t="s">
        <v>571</v>
      </c>
      <c r="C17" s="392"/>
      <c r="D17" s="392"/>
      <c r="E17" s="393"/>
      <c r="F17" s="130"/>
    </row>
    <row r="18" spans="1:6" ht="15.75">
      <c r="A18" s="177" t="s">
        <v>572</v>
      </c>
      <c r="B18" s="397" t="s">
        <v>1020</v>
      </c>
      <c r="C18" s="395">
        <v>1</v>
      </c>
      <c r="D18" s="395"/>
      <c r="E18" s="393"/>
      <c r="F18" s="130"/>
    </row>
    <row r="19" spans="1:6" ht="15.75">
      <c r="A19" s="177" t="s">
        <v>573</v>
      </c>
      <c r="B19" s="397" t="s">
        <v>1021</v>
      </c>
      <c r="C19" s="395"/>
      <c r="D19" s="392"/>
      <c r="E19" s="299">
        <v>12</v>
      </c>
      <c r="F19" s="130"/>
    </row>
    <row r="20" spans="1:6" ht="15.75">
      <c r="A20" s="177" t="s">
        <v>574</v>
      </c>
      <c r="B20" s="397"/>
      <c r="C20" s="392"/>
      <c r="D20" s="392"/>
      <c r="E20" s="393"/>
      <c r="F20" s="130"/>
    </row>
    <row r="21" spans="1:6" ht="16.5" thickBot="1">
      <c r="A21" s="398"/>
      <c r="B21" s="399" t="s">
        <v>1060</v>
      </c>
      <c r="C21" s="400">
        <v>126</v>
      </c>
      <c r="D21" s="400">
        <v>1</v>
      </c>
      <c r="E21" s="401">
        <v>12</v>
      </c>
      <c r="F21" s="133"/>
    </row>
    <row r="22" spans="1:6" ht="15.75">
      <c r="A22" s="402"/>
      <c r="B22" s="341"/>
      <c r="C22" s="130"/>
      <c r="D22" s="130"/>
      <c r="E22" s="130"/>
      <c r="F22" s="130"/>
    </row>
    <row r="23" spans="1:6" ht="15.75">
      <c r="A23" s="1"/>
      <c r="B23" s="1"/>
      <c r="C23" s="1"/>
      <c r="D23" s="1"/>
      <c r="E23" s="130"/>
      <c r="F23" s="130"/>
    </row>
    <row r="24" spans="1:6" ht="15.75">
      <c r="A24" s="1"/>
      <c r="B24" s="1" t="s">
        <v>575</v>
      </c>
      <c r="C24" s="1"/>
      <c r="D24" s="1"/>
      <c r="E24" s="130"/>
      <c r="F24" s="130"/>
    </row>
    <row r="25" spans="1:6" ht="15.75">
      <c r="A25" s="1"/>
      <c r="B25" s="1" t="s">
        <v>576</v>
      </c>
      <c r="C25" s="1"/>
      <c r="D25" s="1"/>
      <c r="E25" s="130"/>
      <c r="F25" s="130"/>
    </row>
    <row r="26" spans="1:6" ht="15.75">
      <c r="A26" s="1"/>
      <c r="B26" s="74" t="s">
        <v>1015</v>
      </c>
      <c r="C26" s="1"/>
      <c r="D26" s="1"/>
      <c r="E26" s="130"/>
      <c r="F26" s="130"/>
    </row>
    <row r="27" spans="1:6" ht="15.75">
      <c r="A27" s="1"/>
      <c r="B27" s="1"/>
      <c r="C27" s="1"/>
      <c r="D27" s="1"/>
      <c r="E27" s="130"/>
      <c r="F27" s="130"/>
    </row>
    <row r="28" spans="1:6" ht="15.75">
      <c r="A28" s="210"/>
      <c r="B28" s="403" t="s">
        <v>1452</v>
      </c>
      <c r="C28" s="1"/>
      <c r="D28" s="837" t="s">
        <v>577</v>
      </c>
      <c r="E28" s="837"/>
      <c r="F28" s="837"/>
    </row>
    <row r="29" spans="1:6" ht="15.75">
      <c r="A29" s="1"/>
      <c r="B29" s="1"/>
      <c r="C29" s="54" t="s">
        <v>100</v>
      </c>
      <c r="D29" s="1"/>
      <c r="E29" s="130"/>
      <c r="F29" s="130"/>
    </row>
  </sheetData>
  <sheetProtection/>
  <mergeCells count="7">
    <mergeCell ref="D28:F28"/>
    <mergeCell ref="A6:E6"/>
    <mergeCell ref="A8:A9"/>
    <mergeCell ref="B8:B9"/>
    <mergeCell ref="C8:C9"/>
    <mergeCell ref="D8:D9"/>
    <mergeCell ref="E8:E9"/>
  </mergeCells>
  <printOptions/>
  <pageMargins left="0.31496062992125984" right="0" top="0.7480314960629921" bottom="0.7480314960629921" header="0.31496062992125984" footer="0.31496062992125984"/>
  <pageSetup fitToHeight="1" fitToWidth="1" horizontalDpi="600" verticalDpi="600" orientation="landscape" scale="52"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N722"/>
  <sheetViews>
    <sheetView tabSelected="1" view="pageBreakPreview" zoomScale="85" zoomScaleSheetLayoutView="85" workbookViewId="0" topLeftCell="A163">
      <selection activeCell="A88" sqref="A88"/>
    </sheetView>
  </sheetViews>
  <sheetFormatPr defaultColWidth="9.140625" defaultRowHeight="15"/>
  <cols>
    <col min="1" max="1" width="7.421875" style="440" bestFit="1" customWidth="1"/>
    <col min="2" max="2" width="5.00390625" style="440" customWidth="1"/>
    <col min="3" max="3" width="25.8515625" style="54" customWidth="1"/>
    <col min="4" max="4" width="14.421875" style="54" customWidth="1"/>
    <col min="5" max="5" width="99.00390625" style="440" customWidth="1"/>
    <col min="6" max="6" width="13.28125" style="101" bestFit="1" customWidth="1"/>
    <col min="7" max="7" width="11.421875" style="101" customWidth="1"/>
    <col min="8" max="8" width="26.8515625" style="101" bestFit="1" customWidth="1"/>
    <col min="9" max="9" width="12.8515625" style="803" bestFit="1" customWidth="1"/>
    <col min="10" max="10" width="14.421875" style="803" bestFit="1" customWidth="1"/>
    <col min="11" max="11" width="13.421875" style="440" hidden="1" customWidth="1"/>
    <col min="12" max="17" width="0" style="440" hidden="1" customWidth="1"/>
    <col min="18" max="16384" width="9.140625" style="440" customWidth="1"/>
  </cols>
  <sheetData>
    <row r="1" spans="2:10" s="513" customFormat="1" ht="15.75">
      <c r="B1" s="514" t="s">
        <v>1074</v>
      </c>
      <c r="C1" s="512"/>
      <c r="D1" s="512"/>
      <c r="E1" s="515"/>
      <c r="F1" s="516"/>
      <c r="G1" s="516"/>
      <c r="H1" s="516"/>
      <c r="I1" s="517"/>
      <c r="J1" s="517"/>
    </row>
    <row r="2" spans="2:10" ht="63" customHeight="1">
      <c r="B2" s="844" t="s">
        <v>1075</v>
      </c>
      <c r="C2" s="844"/>
      <c r="D2" s="844"/>
      <c r="E2" s="844"/>
      <c r="F2" s="844"/>
      <c r="G2" s="844"/>
      <c r="H2" s="844"/>
      <c r="I2" s="844"/>
      <c r="J2" s="440"/>
    </row>
    <row r="3" spans="2:12" ht="63" customHeight="1" thickBot="1">
      <c r="B3" s="845"/>
      <c r="C3" s="845"/>
      <c r="D3" s="845"/>
      <c r="E3" s="845"/>
      <c r="F3" s="845"/>
      <c r="G3" s="845"/>
      <c r="H3" s="845"/>
      <c r="I3" s="845"/>
      <c r="J3" s="440"/>
      <c r="K3" s="518">
        <v>1.080357</v>
      </c>
      <c r="L3" s="518">
        <v>1.06</v>
      </c>
    </row>
    <row r="4" spans="1:10" s="527" customFormat="1" ht="40.5" customHeight="1" thickBot="1" thickTop="1">
      <c r="A4" s="846" t="s">
        <v>578</v>
      </c>
      <c r="B4" s="847"/>
      <c r="C4" s="519" t="s">
        <v>579</v>
      </c>
      <c r="D4" s="520" t="s">
        <v>580</v>
      </c>
      <c r="E4" s="521" t="s">
        <v>581</v>
      </c>
      <c r="F4" s="522" t="s">
        <v>582</v>
      </c>
      <c r="G4" s="523" t="s">
        <v>583</v>
      </c>
      <c r="H4" s="524" t="s">
        <v>584</v>
      </c>
      <c r="I4" s="525" t="s">
        <v>585</v>
      </c>
      <c r="J4" s="526" t="s">
        <v>586</v>
      </c>
    </row>
    <row r="5" spans="1:10" s="527" customFormat="1" ht="16.5" customHeight="1">
      <c r="A5" s="528"/>
      <c r="B5" s="529"/>
      <c r="C5" s="530"/>
      <c r="D5" s="531"/>
      <c r="E5" s="532"/>
      <c r="F5" s="533"/>
      <c r="G5" s="534"/>
      <c r="H5" s="529"/>
      <c r="I5" s="535"/>
      <c r="J5" s="536">
        <v>1.2</v>
      </c>
    </row>
    <row r="6" spans="1:10" s="545" customFormat="1" ht="19.5" customHeight="1" thickBot="1">
      <c r="A6" s="842" t="s">
        <v>1076</v>
      </c>
      <c r="B6" s="843"/>
      <c r="C6" s="537"/>
      <c r="D6" s="538"/>
      <c r="E6" s="539" t="s">
        <v>587</v>
      </c>
      <c r="F6" s="540"/>
      <c r="G6" s="541"/>
      <c r="H6" s="542"/>
      <c r="I6" s="543"/>
      <c r="J6" s="544"/>
    </row>
    <row r="7" spans="1:10" s="545" customFormat="1" ht="17.25" customHeight="1">
      <c r="A7" s="546"/>
      <c r="B7" s="547"/>
      <c r="C7" s="548"/>
      <c r="D7" s="549"/>
      <c r="E7" s="550"/>
      <c r="F7" s="551"/>
      <c r="G7" s="552"/>
      <c r="H7" s="553"/>
      <c r="I7" s="554"/>
      <c r="J7" s="555"/>
    </row>
    <row r="8" spans="1:10" s="566" customFormat="1" ht="17.25" customHeight="1">
      <c r="A8" s="556" t="str">
        <f>+$A$6</f>
        <v>А.</v>
      </c>
      <c r="B8" s="557" t="s">
        <v>588</v>
      </c>
      <c r="C8" s="558" t="s">
        <v>1077</v>
      </c>
      <c r="D8" s="559" t="s">
        <v>1078</v>
      </c>
      <c r="E8" s="560" t="s">
        <v>589</v>
      </c>
      <c r="F8" s="561" t="s">
        <v>1079</v>
      </c>
      <c r="G8" s="562">
        <f>+'[1]1_Припремни'!Y4</f>
        <v>10.959999999999999</v>
      </c>
      <c r="H8" s="563">
        <f>+'[1]1_Припремни'!Z4+'[1]1_Припремни'!AA4+'[1]1_Припремни'!AB4</f>
        <v>191.12624466336985</v>
      </c>
      <c r="I8" s="564">
        <f>+G8++H8</f>
        <v>202.08624466336985</v>
      </c>
      <c r="J8" s="565">
        <f>+$I8*$J$5</f>
        <v>242.50349359604382</v>
      </c>
    </row>
    <row r="9" spans="1:10" s="566" customFormat="1" ht="17.25" customHeight="1">
      <c r="A9" s="556" t="str">
        <f aca="true" t="shared" si="0" ref="A9:A20">+$A$6</f>
        <v>А.</v>
      </c>
      <c r="B9" s="557" t="s">
        <v>590</v>
      </c>
      <c r="C9" s="558" t="s">
        <v>1080</v>
      </c>
      <c r="D9" s="559" t="s">
        <v>1081</v>
      </c>
      <c r="E9" s="560" t="s">
        <v>591</v>
      </c>
      <c r="F9" s="567" t="s">
        <v>592</v>
      </c>
      <c r="G9" s="562">
        <f>+'[1]1_Припремни'!Y5</f>
        <v>3.64</v>
      </c>
      <c r="H9" s="563">
        <f>+'[1]1_Припремни'!Z5+'[1]1_Припремни'!AA5+'[1]1_Припремни'!AB5</f>
        <v>144.5100874284016</v>
      </c>
      <c r="I9" s="564">
        <f aca="true" t="shared" si="1" ref="I9:I20">+G9++H9</f>
        <v>148.15008742840158</v>
      </c>
      <c r="J9" s="565">
        <f aca="true" t="shared" si="2" ref="J9:J20">+$I9*$J$5</f>
        <v>177.78010491408187</v>
      </c>
    </row>
    <row r="10" spans="1:10" s="566" customFormat="1" ht="17.25" customHeight="1">
      <c r="A10" s="556" t="str">
        <f t="shared" si="0"/>
        <v>А.</v>
      </c>
      <c r="B10" s="557" t="s">
        <v>593</v>
      </c>
      <c r="C10" s="558" t="s">
        <v>1082</v>
      </c>
      <c r="D10" s="568" t="s">
        <v>1083</v>
      </c>
      <c r="E10" s="560" t="s">
        <v>594</v>
      </c>
      <c r="F10" s="567" t="s">
        <v>592</v>
      </c>
      <c r="G10" s="562">
        <f>+'[1]1_Припремни'!Y6</f>
        <v>64.63</v>
      </c>
      <c r="H10" s="563">
        <f>+'[1]1_Припремни'!Z6+'[1]1_Припремни'!AA6+'[1]1_Припремни'!AB6</f>
        <v>1608.3937291597238</v>
      </c>
      <c r="I10" s="564">
        <f t="shared" si="1"/>
        <v>1673.0237291597236</v>
      </c>
      <c r="J10" s="565">
        <f t="shared" si="2"/>
        <v>2007.6284749916683</v>
      </c>
    </row>
    <row r="11" spans="1:10" s="566" customFormat="1" ht="17.25" customHeight="1">
      <c r="A11" s="556" t="str">
        <f t="shared" si="0"/>
        <v>А.</v>
      </c>
      <c r="B11" s="557" t="s">
        <v>595</v>
      </c>
      <c r="C11" s="558" t="s">
        <v>1084</v>
      </c>
      <c r="D11" s="559" t="s">
        <v>1085</v>
      </c>
      <c r="E11" s="560" t="s">
        <v>596</v>
      </c>
      <c r="F11" s="567" t="s">
        <v>597</v>
      </c>
      <c r="G11" s="562">
        <f>+'[1]1_Припремни'!Y7</f>
        <v>40.7</v>
      </c>
      <c r="H11" s="563">
        <f>+'[1]1_Припремни'!Z7+'[1]1_Припремни'!AA7+'[1]1_Припремни'!AB7</f>
        <v>82.19164565112828</v>
      </c>
      <c r="I11" s="564">
        <f t="shared" si="1"/>
        <v>122.89164565112829</v>
      </c>
      <c r="J11" s="565">
        <f t="shared" si="2"/>
        <v>147.46997478135393</v>
      </c>
    </row>
    <row r="12" spans="1:10" s="421" customFormat="1" ht="17.25" customHeight="1">
      <c r="A12" s="556" t="str">
        <f t="shared" si="0"/>
        <v>А.</v>
      </c>
      <c r="B12" s="557" t="s">
        <v>598</v>
      </c>
      <c r="C12" s="558" t="s">
        <v>1086</v>
      </c>
      <c r="D12" s="559" t="s">
        <v>1087</v>
      </c>
      <c r="E12" s="560" t="s">
        <v>599</v>
      </c>
      <c r="F12" s="567" t="s">
        <v>597</v>
      </c>
      <c r="G12" s="562">
        <f>+'[1]1_Припремни'!Y8</f>
        <v>81.4</v>
      </c>
      <c r="H12" s="563">
        <f>+'[1]1_Припремни'!Z8+'[1]1_Припремни'!AA8+'[1]1_Припремни'!AB8</f>
        <v>155.25088622990899</v>
      </c>
      <c r="I12" s="564">
        <f t="shared" si="1"/>
        <v>236.650886229909</v>
      </c>
      <c r="J12" s="565">
        <f t="shared" si="2"/>
        <v>283.9810634758908</v>
      </c>
    </row>
    <row r="13" spans="1:10" s="572" customFormat="1" ht="17.25" customHeight="1">
      <c r="A13" s="556" t="str">
        <f t="shared" si="0"/>
        <v>А.</v>
      </c>
      <c r="B13" s="557" t="s">
        <v>600</v>
      </c>
      <c r="C13" s="569" t="s">
        <v>1088</v>
      </c>
      <c r="D13" s="559" t="s">
        <v>1089</v>
      </c>
      <c r="E13" s="570" t="s">
        <v>1090</v>
      </c>
      <c r="F13" s="561" t="s">
        <v>1079</v>
      </c>
      <c r="G13" s="562">
        <f>+'[1]1_Припремни'!Q14</f>
        <v>66</v>
      </c>
      <c r="H13" s="563">
        <f>+'[1]1_Припремни'!R14+'[1]1_Припремни'!S14+'[1]1_Припремни'!T14</f>
        <v>245.3481959735172</v>
      </c>
      <c r="I13" s="564">
        <f t="shared" si="1"/>
        <v>311.3481959735172</v>
      </c>
      <c r="J13" s="571">
        <f t="shared" si="2"/>
        <v>373.6178351682206</v>
      </c>
    </row>
    <row r="14" spans="1:10" s="572" customFormat="1" ht="17.25" customHeight="1">
      <c r="A14" s="556" t="str">
        <f t="shared" si="0"/>
        <v>А.</v>
      </c>
      <c r="B14" s="557" t="s">
        <v>601</v>
      </c>
      <c r="C14" s="569" t="s">
        <v>1091</v>
      </c>
      <c r="D14" s="559" t="s">
        <v>1092</v>
      </c>
      <c r="E14" s="570" t="s">
        <v>1093</v>
      </c>
      <c r="F14" s="561" t="s">
        <v>1079</v>
      </c>
      <c r="G14" s="562">
        <f>+'[1]1_Припремни'!Q15</f>
        <v>98</v>
      </c>
      <c r="H14" s="563">
        <f>+'[1]1_Припремни'!R15+'[1]1_Припремни'!S15+'[1]1_Припремни'!T15</f>
        <v>245.3481959735172</v>
      </c>
      <c r="I14" s="564">
        <f t="shared" si="1"/>
        <v>343.3481959735172</v>
      </c>
      <c r="J14" s="571">
        <f t="shared" si="2"/>
        <v>412.01783516822064</v>
      </c>
    </row>
    <row r="15" spans="1:10" s="572" customFormat="1" ht="17.25" customHeight="1">
      <c r="A15" s="556" t="str">
        <f t="shared" si="0"/>
        <v>А.</v>
      </c>
      <c r="B15" s="557" t="s">
        <v>602</v>
      </c>
      <c r="C15" s="569" t="s">
        <v>1094</v>
      </c>
      <c r="D15" s="559" t="s">
        <v>1095</v>
      </c>
      <c r="E15" s="570" t="s">
        <v>1096</v>
      </c>
      <c r="F15" s="561" t="s">
        <v>1079</v>
      </c>
      <c r="G15" s="562">
        <f>+'[1]1_Припремни'!Q16</f>
        <v>164</v>
      </c>
      <c r="H15" s="563">
        <f>+'[1]1_Припремни'!R16+'[1]1_Припремни'!S16+'[1]1_Припремни'!T16</f>
        <v>245.3481959735172</v>
      </c>
      <c r="I15" s="564">
        <f t="shared" si="1"/>
        <v>409.3481959735172</v>
      </c>
      <c r="J15" s="571">
        <f t="shared" si="2"/>
        <v>491.21783516822063</v>
      </c>
    </row>
    <row r="16" spans="1:10" s="572" customFormat="1" ht="17.25" customHeight="1">
      <c r="A16" s="556" t="str">
        <f t="shared" si="0"/>
        <v>А.</v>
      </c>
      <c r="B16" s="557" t="s">
        <v>603</v>
      </c>
      <c r="C16" s="569"/>
      <c r="D16" s="573"/>
      <c r="E16" s="574" t="s">
        <v>605</v>
      </c>
      <c r="F16" s="567" t="s">
        <v>597</v>
      </c>
      <c r="G16" s="562">
        <f>+'[1]1_Припремни'!G22</f>
        <v>20000</v>
      </c>
      <c r="H16" s="563">
        <f>+'[1]1_Припремни'!J22</f>
        <v>5997.40034601931</v>
      </c>
      <c r="I16" s="564">
        <f t="shared" si="1"/>
        <v>25997.40034601931</v>
      </c>
      <c r="J16" s="571">
        <f t="shared" si="2"/>
        <v>31196.880415223168</v>
      </c>
    </row>
    <row r="17" spans="1:10" s="572" customFormat="1" ht="17.25" customHeight="1">
      <c r="A17" s="556" t="str">
        <f t="shared" si="0"/>
        <v>А.</v>
      </c>
      <c r="B17" s="557" t="s">
        <v>604</v>
      </c>
      <c r="C17" s="569"/>
      <c r="D17" s="573"/>
      <c r="E17" s="574" t="s">
        <v>607</v>
      </c>
      <c r="F17" s="567" t="s">
        <v>608</v>
      </c>
      <c r="G17" s="562">
        <v>0</v>
      </c>
      <c r="H17" s="563">
        <f>+'[1]1_Припремни'!K23</f>
        <v>150</v>
      </c>
      <c r="I17" s="564">
        <f t="shared" si="1"/>
        <v>150</v>
      </c>
      <c r="J17" s="571">
        <f t="shared" si="2"/>
        <v>180</v>
      </c>
    </row>
    <row r="18" spans="1:10" s="572" customFormat="1" ht="17.25" customHeight="1">
      <c r="A18" s="556" t="str">
        <f t="shared" si="0"/>
        <v>А.</v>
      </c>
      <c r="B18" s="557" t="s">
        <v>606</v>
      </c>
      <c r="C18" s="569"/>
      <c r="D18" s="573"/>
      <c r="E18" s="574" t="s">
        <v>610</v>
      </c>
      <c r="F18" s="567" t="s">
        <v>592</v>
      </c>
      <c r="G18" s="562">
        <v>0</v>
      </c>
      <c r="H18" s="563">
        <f>+'[1]1_Припремни'!K24</f>
        <v>150</v>
      </c>
      <c r="I18" s="564">
        <f t="shared" si="1"/>
        <v>150</v>
      </c>
      <c r="J18" s="571">
        <f t="shared" si="2"/>
        <v>180</v>
      </c>
    </row>
    <row r="19" spans="1:10" s="572" customFormat="1" ht="17.25" customHeight="1">
      <c r="A19" s="556" t="str">
        <f t="shared" si="0"/>
        <v>А.</v>
      </c>
      <c r="B19" s="557" t="s">
        <v>609</v>
      </c>
      <c r="C19" s="569"/>
      <c r="D19" s="573"/>
      <c r="E19" s="574" t="s">
        <v>1097</v>
      </c>
      <c r="F19" s="567" t="s">
        <v>597</v>
      </c>
      <c r="G19" s="562">
        <v>0</v>
      </c>
      <c r="H19" s="563">
        <v>10500</v>
      </c>
      <c r="I19" s="564">
        <f>+G19++H19</f>
        <v>10500</v>
      </c>
      <c r="J19" s="571">
        <f t="shared" si="2"/>
        <v>12600</v>
      </c>
    </row>
    <row r="20" spans="1:10" s="572" customFormat="1" ht="17.25" customHeight="1">
      <c r="A20" s="556" t="str">
        <f t="shared" si="0"/>
        <v>А.</v>
      </c>
      <c r="B20" s="557" t="s">
        <v>611</v>
      </c>
      <c r="C20" s="569"/>
      <c r="D20" s="573" t="s">
        <v>1098</v>
      </c>
      <c r="E20" s="574" t="s">
        <v>1099</v>
      </c>
      <c r="F20" s="567" t="s">
        <v>597</v>
      </c>
      <c r="G20" s="562">
        <f>+'[1]1_Припремни'!L31</f>
        <v>1077.41</v>
      </c>
      <c r="H20" s="563">
        <f>+'[1]1_Припремни'!T31+'[1]1_Припремни'!U31+'[1]1_Припремни'!V31+'[1]1_Припремни'!W31+'[1]1_Припремни'!X31+'[1]1_Припремни'!Y31</f>
        <v>280763.6836048463</v>
      </c>
      <c r="I20" s="564">
        <f t="shared" si="1"/>
        <v>281841.0936048463</v>
      </c>
      <c r="J20" s="571">
        <f t="shared" si="2"/>
        <v>338209.3123258155</v>
      </c>
    </row>
    <row r="21" spans="1:10" s="572" customFormat="1" ht="17.25" customHeight="1">
      <c r="A21" s="575"/>
      <c r="B21" s="576"/>
      <c r="C21" s="577"/>
      <c r="D21" s="578"/>
      <c r="E21" s="579"/>
      <c r="F21" s="580"/>
      <c r="G21" s="581"/>
      <c r="H21" s="582"/>
      <c r="I21" s="583"/>
      <c r="J21" s="584"/>
    </row>
    <row r="22" spans="1:10" s="545" customFormat="1" ht="19.5" customHeight="1" thickBot="1">
      <c r="A22" s="842" t="s">
        <v>1100</v>
      </c>
      <c r="B22" s="843"/>
      <c r="C22" s="537"/>
      <c r="D22" s="538"/>
      <c r="E22" s="539" t="s">
        <v>612</v>
      </c>
      <c r="F22" s="540"/>
      <c r="G22" s="585"/>
      <c r="H22" s="586"/>
      <c r="I22" s="587"/>
      <c r="J22" s="588"/>
    </row>
    <row r="23" spans="1:10" s="545" customFormat="1" ht="17.25" customHeight="1">
      <c r="A23" s="546"/>
      <c r="B23" s="589"/>
      <c r="C23" s="590"/>
      <c r="D23" s="591"/>
      <c r="E23" s="592"/>
      <c r="F23" s="593"/>
      <c r="G23" s="594"/>
      <c r="H23" s="595"/>
      <c r="I23" s="596"/>
      <c r="J23" s="597"/>
    </row>
    <row r="24" spans="1:10" s="566" customFormat="1" ht="30.75" customHeight="1">
      <c r="A24" s="556" t="str">
        <f>+$A$22</f>
        <v>Б.</v>
      </c>
      <c r="B24" s="557" t="s">
        <v>588</v>
      </c>
      <c r="C24" s="558" t="str">
        <f>+'[1]2_Земљани'!B5</f>
        <v>ГН 200.109.21 А 2.1</v>
      </c>
      <c r="D24" s="559" t="s">
        <v>1101</v>
      </c>
      <c r="E24" s="598" t="s">
        <v>613</v>
      </c>
      <c r="F24" s="567" t="s">
        <v>1102</v>
      </c>
      <c r="G24" s="599">
        <f>+'[1]2_Земљани'!W5</f>
        <v>0</v>
      </c>
      <c r="H24" s="563">
        <f>+'[1]2_Земљани'!X5+'[1]2_Земљани'!Y5</f>
        <v>1164.995017214251</v>
      </c>
      <c r="I24" s="564">
        <f>+G24++H24</f>
        <v>1164.995017214251</v>
      </c>
      <c r="J24" s="600">
        <f aca="true" t="shared" si="3" ref="J24:J62">+$I24*$J$5</f>
        <v>1397.9940206571011</v>
      </c>
    </row>
    <row r="25" spans="1:10" s="566" customFormat="1" ht="17.25" customHeight="1">
      <c r="A25" s="556" t="str">
        <f aca="true" t="shared" si="4" ref="A25:A62">+$A$22</f>
        <v>Б.</v>
      </c>
      <c r="B25" s="557" t="s">
        <v>590</v>
      </c>
      <c r="C25" s="558" t="str">
        <f>+'[1]2_Земљани'!B6</f>
        <v>ГН 200.109.23 А 2.1</v>
      </c>
      <c r="D25" s="559" t="s">
        <v>1103</v>
      </c>
      <c r="E25" s="598" t="s">
        <v>614</v>
      </c>
      <c r="F25" s="567" t="s">
        <v>1102</v>
      </c>
      <c r="G25" s="599">
        <f>+'[1]2_Земљани'!W6</f>
        <v>0</v>
      </c>
      <c r="H25" s="563">
        <f>+'[1]2_Земљани'!X6+'[1]2_Земљани'!Y6</f>
        <v>1514.4935223785262</v>
      </c>
      <c r="I25" s="564">
        <f aca="true" t="shared" si="5" ref="I25:I61">+G25++H25</f>
        <v>1514.4935223785262</v>
      </c>
      <c r="J25" s="600">
        <f t="shared" si="3"/>
        <v>1817.3922268542315</v>
      </c>
    </row>
    <row r="26" spans="1:10" s="566" customFormat="1" ht="17.25" customHeight="1">
      <c r="A26" s="556" t="str">
        <f t="shared" si="4"/>
        <v>Б.</v>
      </c>
      <c r="B26" s="557" t="s">
        <v>593</v>
      </c>
      <c r="C26" s="558" t="str">
        <f>+'[1]2_Земљани'!B7</f>
        <v>ГН 200.109.25 А 2.1</v>
      </c>
      <c r="D26" s="559" t="s">
        <v>1104</v>
      </c>
      <c r="E26" s="598" t="s">
        <v>615</v>
      </c>
      <c r="F26" s="567" t="s">
        <v>1102</v>
      </c>
      <c r="G26" s="599">
        <f>+'[1]2_Земљани'!W7</f>
        <v>0</v>
      </c>
      <c r="H26" s="563">
        <f>+'[1]2_Земљани'!X7+'[1]2_Земљани'!Y7</f>
        <v>1794.1223135116768</v>
      </c>
      <c r="I26" s="564">
        <f t="shared" si="5"/>
        <v>1794.1223135116768</v>
      </c>
      <c r="J26" s="600">
        <f t="shared" si="3"/>
        <v>2152.946776214012</v>
      </c>
    </row>
    <row r="27" spans="1:10" s="566" customFormat="1" ht="30.75" customHeight="1">
      <c r="A27" s="556" t="str">
        <f t="shared" si="4"/>
        <v>Б.</v>
      </c>
      <c r="B27" s="557" t="s">
        <v>595</v>
      </c>
      <c r="C27" s="558" t="str">
        <f>+'[1]2_Земљани'!B8</f>
        <v>ГН 200.109.31 А 2.1</v>
      </c>
      <c r="D27" s="559" t="s">
        <v>1105</v>
      </c>
      <c r="E27" s="598" t="s">
        <v>616</v>
      </c>
      <c r="F27" s="567" t="s">
        <v>1102</v>
      </c>
      <c r="G27" s="599">
        <f>+'[1]2_Земљани'!W8</f>
        <v>0</v>
      </c>
      <c r="H27" s="563">
        <f>+'[1]2_Земљани'!X8+'[1]2_Земљани'!Y8</f>
        <v>1574.3175908300689</v>
      </c>
      <c r="I27" s="564">
        <f t="shared" si="5"/>
        <v>1574.3175908300689</v>
      </c>
      <c r="J27" s="600">
        <f t="shared" si="3"/>
        <v>1889.1811089960825</v>
      </c>
    </row>
    <row r="28" spans="1:10" s="566" customFormat="1" ht="17.25" customHeight="1">
      <c r="A28" s="556" t="str">
        <f t="shared" si="4"/>
        <v>Б.</v>
      </c>
      <c r="B28" s="557" t="s">
        <v>598</v>
      </c>
      <c r="C28" s="558" t="str">
        <f>+'[1]2_Земљани'!B9</f>
        <v>ГН 200.109.33 А 2.1</v>
      </c>
      <c r="D28" s="559" t="s">
        <v>1106</v>
      </c>
      <c r="E28" s="598" t="s">
        <v>617</v>
      </c>
      <c r="F28" s="567" t="s">
        <v>1102</v>
      </c>
      <c r="G28" s="599">
        <f>+'[1]2_Земљани'!W9</f>
        <v>0</v>
      </c>
      <c r="H28" s="563">
        <f>+'[1]2_Земљани'!X9+'[1]2_Земљани'!Y9</f>
        <v>2046.6128680790894</v>
      </c>
      <c r="I28" s="564">
        <f t="shared" si="5"/>
        <v>2046.6128680790894</v>
      </c>
      <c r="J28" s="600">
        <f t="shared" si="3"/>
        <v>2455.9354416949072</v>
      </c>
    </row>
    <row r="29" spans="1:10" s="566" customFormat="1" ht="17.25" customHeight="1">
      <c r="A29" s="556" t="str">
        <f t="shared" si="4"/>
        <v>Б.</v>
      </c>
      <c r="B29" s="557" t="s">
        <v>600</v>
      </c>
      <c r="C29" s="558" t="str">
        <f>+'[1]2_Земљани'!B10</f>
        <v>ГН 200.109.35 А 2.1</v>
      </c>
      <c r="D29" s="559" t="s">
        <v>1107</v>
      </c>
      <c r="E29" s="598" t="s">
        <v>618</v>
      </c>
      <c r="F29" s="567" t="s">
        <v>1102</v>
      </c>
      <c r="G29" s="599">
        <f>+'[1]2_Земљани'!W10</f>
        <v>0</v>
      </c>
      <c r="H29" s="563">
        <f>+'[1]2_Земљани'!X10+'[1]2_Земљани'!Y10</f>
        <v>2424.449089878306</v>
      </c>
      <c r="I29" s="564">
        <f t="shared" si="5"/>
        <v>2424.449089878306</v>
      </c>
      <c r="J29" s="600">
        <f t="shared" si="3"/>
        <v>2909.338907853967</v>
      </c>
    </row>
    <row r="30" spans="1:10" s="421" customFormat="1" ht="17.25" customHeight="1">
      <c r="A30" s="556" t="str">
        <f t="shared" si="4"/>
        <v>Б.</v>
      </c>
      <c r="B30" s="557" t="s">
        <v>601</v>
      </c>
      <c r="C30" s="558" t="str">
        <f>+'[1]2_Земљани'!B11</f>
        <v>ГН 200.201.1.1</v>
      </c>
      <c r="D30" s="559" t="s">
        <v>1108</v>
      </c>
      <c r="E30" s="598" t="s">
        <v>1109</v>
      </c>
      <c r="F30" s="567" t="s">
        <v>1102</v>
      </c>
      <c r="G30" s="599">
        <f>+'[1]2_Земљани'!W11</f>
        <v>0</v>
      </c>
      <c r="H30" s="563">
        <f>+'[1]2_Земљани'!X11+'[1]2_Земљани'!Y11</f>
        <v>449.8050259514482</v>
      </c>
      <c r="I30" s="564">
        <f t="shared" si="5"/>
        <v>449.8050259514482</v>
      </c>
      <c r="J30" s="600">
        <f t="shared" si="3"/>
        <v>539.7660311417378</v>
      </c>
    </row>
    <row r="31" spans="1:10" s="601" customFormat="1" ht="17.25" customHeight="1">
      <c r="A31" s="556" t="str">
        <f t="shared" si="4"/>
        <v>Б.</v>
      </c>
      <c r="B31" s="557" t="s">
        <v>602</v>
      </c>
      <c r="C31" s="558" t="str">
        <f>+'[1]2_Земљани'!B12</f>
        <v>ГН 200.202.1.А.3</v>
      </c>
      <c r="D31" s="559" t="s">
        <v>1110</v>
      </c>
      <c r="E31" s="598" t="s">
        <v>1111</v>
      </c>
      <c r="F31" s="561" t="s">
        <v>1079</v>
      </c>
      <c r="G31" s="599">
        <f>+'[1]2_Земљани'!W12</f>
        <v>0</v>
      </c>
      <c r="H31" s="563">
        <f>+'[1]2_Земљани'!X12+'[1]2_Земљани'!Y12</f>
        <v>224.9025129757241</v>
      </c>
      <c r="I31" s="564">
        <f t="shared" si="5"/>
        <v>224.9025129757241</v>
      </c>
      <c r="J31" s="600">
        <f t="shared" si="3"/>
        <v>269.8830155708689</v>
      </c>
    </row>
    <row r="32" spans="1:10" s="421" customFormat="1" ht="17.25" customHeight="1">
      <c r="A32" s="556" t="str">
        <f t="shared" si="4"/>
        <v>Б.</v>
      </c>
      <c r="B32" s="557" t="s">
        <v>603</v>
      </c>
      <c r="C32" s="558" t="str">
        <f>+'[1]2_Земљани'!B13</f>
        <v>ГН 200.202.1.Б.3</v>
      </c>
      <c r="D32" s="591" t="s">
        <v>1112</v>
      </c>
      <c r="E32" s="602" t="s">
        <v>619</v>
      </c>
      <c r="F32" s="603" t="s">
        <v>1079</v>
      </c>
      <c r="G32" s="599">
        <f>+'[1]2_Земљани'!W13</f>
        <v>0</v>
      </c>
      <c r="H32" s="563">
        <f>+'[1]2_Земљани'!X13+'[1]2_Земљани'!Y13</f>
        <v>269.8830155708689</v>
      </c>
      <c r="I32" s="564">
        <f t="shared" si="5"/>
        <v>269.8830155708689</v>
      </c>
      <c r="J32" s="604">
        <f t="shared" si="3"/>
        <v>323.8596186850427</v>
      </c>
    </row>
    <row r="33" spans="1:10" s="421" customFormat="1" ht="17.25" customHeight="1">
      <c r="A33" s="556" t="str">
        <f t="shared" si="4"/>
        <v>Б.</v>
      </c>
      <c r="B33" s="557" t="s">
        <v>604</v>
      </c>
      <c r="C33" s="558" t="str">
        <f>+'[1]2_Земљани'!B14</f>
        <v>ГН 200.203.1.А.2.1</v>
      </c>
      <c r="D33" s="559" t="s">
        <v>1113</v>
      </c>
      <c r="E33" s="598" t="s">
        <v>1114</v>
      </c>
      <c r="F33" s="561" t="s">
        <v>1079</v>
      </c>
      <c r="G33" s="599">
        <f>+'[1]2_Земљани'!W14</f>
        <v>189</v>
      </c>
      <c r="H33" s="563">
        <f>+'[1]2_Земљани'!X14+'[1]2_Земљани'!Y14</f>
        <v>269.8830155708689</v>
      </c>
      <c r="I33" s="564">
        <f t="shared" si="5"/>
        <v>458.8830155708689</v>
      </c>
      <c r="J33" s="600">
        <f t="shared" si="3"/>
        <v>550.6596186850427</v>
      </c>
    </row>
    <row r="34" spans="1:10" s="421" customFormat="1" ht="17.25" customHeight="1">
      <c r="A34" s="556" t="str">
        <f t="shared" si="4"/>
        <v>Б.</v>
      </c>
      <c r="B34" s="557" t="s">
        <v>606</v>
      </c>
      <c r="C34" s="558" t="str">
        <f>+'[1]2_Земљани'!B15</f>
        <v>ГН 200.301.1.1-3</v>
      </c>
      <c r="D34" s="559" t="s">
        <v>1115</v>
      </c>
      <c r="E34" s="598" t="s">
        <v>620</v>
      </c>
      <c r="F34" s="561" t="s">
        <v>1079</v>
      </c>
      <c r="G34" s="599">
        <f>+'[1]2_Земљани'!W15</f>
        <v>11.320581999999998</v>
      </c>
      <c r="H34" s="563">
        <f>+'[1]2_Земљани'!X15+'[1]2_Земљани'!Y15</f>
        <v>2.796969434098095</v>
      </c>
      <c r="I34" s="564">
        <f t="shared" si="5"/>
        <v>14.117551434098093</v>
      </c>
      <c r="J34" s="600">
        <f t="shared" si="3"/>
        <v>16.941061720917713</v>
      </c>
    </row>
    <row r="35" spans="1:10" s="421" customFormat="1" ht="17.25" customHeight="1">
      <c r="A35" s="556" t="str">
        <f t="shared" si="4"/>
        <v>Б.</v>
      </c>
      <c r="B35" s="557" t="s">
        <v>609</v>
      </c>
      <c r="C35" s="558" t="str">
        <f>+'[1]2_Земљани'!B16</f>
        <v>ГН 200.302.1.3.-3</v>
      </c>
      <c r="D35" s="559" t="s">
        <v>1116</v>
      </c>
      <c r="E35" s="598" t="s">
        <v>1117</v>
      </c>
      <c r="F35" s="561" t="s">
        <v>1102</v>
      </c>
      <c r="G35" s="599">
        <f>+'[1]2_Земљани'!W16</f>
        <v>56.308634999999995</v>
      </c>
      <c r="H35" s="563">
        <f>+'[1]2_Земљани'!X16+'[1]2_Земљани'!Y16</f>
        <v>37.2929257879746</v>
      </c>
      <c r="I35" s="564">
        <f t="shared" si="5"/>
        <v>93.60156078797459</v>
      </c>
      <c r="J35" s="600">
        <f t="shared" si="3"/>
        <v>112.32187294556951</v>
      </c>
    </row>
    <row r="36" spans="1:10" s="421" customFormat="1" ht="17.25" customHeight="1">
      <c r="A36" s="556" t="str">
        <f t="shared" si="4"/>
        <v>Б.</v>
      </c>
      <c r="B36" s="557" t="s">
        <v>611</v>
      </c>
      <c r="C36" s="558" t="str">
        <f>+'[1]2_Земљани'!B17</f>
        <v>ГН 200.303.2.1-6.1A 3.1'</v>
      </c>
      <c r="D36" s="559" t="s">
        <v>1118</v>
      </c>
      <c r="E36" s="598" t="s">
        <v>1119</v>
      </c>
      <c r="F36" s="561" t="s">
        <v>1102</v>
      </c>
      <c r="G36" s="599">
        <f>+'[1]2_Земљани'!W17</f>
        <v>36.93073400000001</v>
      </c>
      <c r="H36" s="563">
        <f>+'[1]2_Земљани'!X17+'[1]2_Земљани'!Y17</f>
        <v>48.0146419520173</v>
      </c>
      <c r="I36" s="564">
        <f t="shared" si="5"/>
        <v>84.94537595201732</v>
      </c>
      <c r="J36" s="600">
        <f t="shared" si="3"/>
        <v>101.93445114242077</v>
      </c>
    </row>
    <row r="37" spans="1:10" s="421" customFormat="1" ht="17.25" customHeight="1">
      <c r="A37" s="556" t="str">
        <f t="shared" si="4"/>
        <v>Б.</v>
      </c>
      <c r="B37" s="557" t="s">
        <v>621</v>
      </c>
      <c r="C37" s="558" t="str">
        <f>+'[1]2_Земљани'!B18</f>
        <v>ГН 200.303.3.3'-1'</v>
      </c>
      <c r="D37" s="559" t="s">
        <v>1120</v>
      </c>
      <c r="E37" s="598" t="s">
        <v>1121</v>
      </c>
      <c r="F37" s="561" t="s">
        <v>1102</v>
      </c>
      <c r="G37" s="599">
        <f>+'[1]2_Земљани'!W18</f>
        <v>42.609596</v>
      </c>
      <c r="H37" s="563">
        <f>+'[1]2_Земљани'!X18+'[1]2_Земљани'!Y18</f>
        <v>49.64620745524119</v>
      </c>
      <c r="I37" s="564">
        <f t="shared" si="5"/>
        <v>92.25580345524119</v>
      </c>
      <c r="J37" s="600">
        <f t="shared" si="3"/>
        <v>110.70696414628942</v>
      </c>
    </row>
    <row r="38" spans="1:10" s="421" customFormat="1" ht="17.25" customHeight="1">
      <c r="A38" s="556" t="str">
        <f t="shared" si="4"/>
        <v>Б.</v>
      </c>
      <c r="B38" s="557" t="s">
        <v>622</v>
      </c>
      <c r="C38" s="558" t="str">
        <f>+'[1]2_Земљани'!B19</f>
        <v>ГН 200.304.3'.2-1</v>
      </c>
      <c r="D38" s="559" t="s">
        <v>1122</v>
      </c>
      <c r="E38" s="598" t="s">
        <v>624</v>
      </c>
      <c r="F38" s="561" t="s">
        <v>1102</v>
      </c>
      <c r="G38" s="599">
        <f>+'[1]2_Земљани'!W19</f>
        <v>36.85911000000001</v>
      </c>
      <c r="H38" s="563">
        <f>+'[1]2_Земљани'!X19+'[1]2_Земљани'!Y19</f>
        <v>29.601259844204836</v>
      </c>
      <c r="I38" s="564">
        <f>+G38+H38</f>
        <v>66.46036984420485</v>
      </c>
      <c r="J38" s="600">
        <f t="shared" si="3"/>
        <v>79.75244381304582</v>
      </c>
    </row>
    <row r="39" spans="1:10" s="421" customFormat="1" ht="30.75" customHeight="1">
      <c r="A39" s="556" t="str">
        <f t="shared" si="4"/>
        <v>Б.</v>
      </c>
      <c r="B39" s="557" t="s">
        <v>623</v>
      </c>
      <c r="C39" s="558" t="str">
        <f>+'[1]2_Земљани'!B20</f>
        <v>ГН 200.304'.3'.1-3</v>
      </c>
      <c r="D39" s="559" t="s">
        <v>1123</v>
      </c>
      <c r="E39" s="598" t="s">
        <v>626</v>
      </c>
      <c r="F39" s="561" t="s">
        <v>1102</v>
      </c>
      <c r="G39" s="599">
        <f>+'[1]2_Земљани'!W20</f>
        <v>37.53909</v>
      </c>
      <c r="H39" s="563">
        <f>+'[1]2_Земљани'!X20+'[1]2_Земљани'!Y20</f>
        <v>108.14948478512635</v>
      </c>
      <c r="I39" s="564">
        <f t="shared" si="5"/>
        <v>145.68857478512635</v>
      </c>
      <c r="J39" s="600">
        <f t="shared" si="3"/>
        <v>174.8262897421516</v>
      </c>
    </row>
    <row r="40" spans="1:10" s="421" customFormat="1" ht="17.25" customHeight="1">
      <c r="A40" s="556" t="str">
        <f t="shared" si="4"/>
        <v>Б.</v>
      </c>
      <c r="B40" s="557" t="s">
        <v>625</v>
      </c>
      <c r="C40" s="558" t="str">
        <f>+'[1]2_Земљани'!B21</f>
        <v>ГН 200.304'.5.1-3</v>
      </c>
      <c r="D40" s="559" t="s">
        <v>1124</v>
      </c>
      <c r="E40" s="598" t="s">
        <v>628</v>
      </c>
      <c r="F40" s="561" t="s">
        <v>1102</v>
      </c>
      <c r="G40" s="599">
        <f>+'[1]2_Земљани'!W21</f>
        <v>44.27413000000001</v>
      </c>
      <c r="H40" s="563">
        <f>+'[1]2_Земљани'!X21+'[1]2_Земљани'!Y21</f>
        <v>212.80275777763012</v>
      </c>
      <c r="I40" s="564">
        <f t="shared" si="5"/>
        <v>257.07688777763013</v>
      </c>
      <c r="J40" s="600">
        <f t="shared" si="3"/>
        <v>308.4922653331561</v>
      </c>
    </row>
    <row r="41" spans="1:10" s="421" customFormat="1" ht="33.75" customHeight="1">
      <c r="A41" s="556" t="str">
        <f t="shared" si="4"/>
        <v>Б.</v>
      </c>
      <c r="B41" s="557" t="s">
        <v>627</v>
      </c>
      <c r="C41" s="558" t="str">
        <f>+'[1]2_Земљани'!B22</f>
        <v>ГН 200.305.1.1-6.3''.1</v>
      </c>
      <c r="D41" s="559" t="s">
        <v>1125</v>
      </c>
      <c r="E41" s="598" t="s">
        <v>1126</v>
      </c>
      <c r="F41" s="561" t="s">
        <v>1102</v>
      </c>
      <c r="G41" s="599">
        <f>+'[1]2_Земљани'!W22</f>
        <v>70.742354</v>
      </c>
      <c r="H41" s="563">
        <f>+'[1]2_Земљани'!X22+'[1]2_Земљани'!Y22</f>
        <v>47.78156116584246</v>
      </c>
      <c r="I41" s="564">
        <f t="shared" si="5"/>
        <v>118.52391516584247</v>
      </c>
      <c r="J41" s="600">
        <f t="shared" si="3"/>
        <v>142.22869819901095</v>
      </c>
    </row>
    <row r="42" spans="1:10" s="421" customFormat="1" ht="17.25" customHeight="1">
      <c r="A42" s="556" t="str">
        <f t="shared" si="4"/>
        <v>Б.</v>
      </c>
      <c r="B42" s="557" t="s">
        <v>629</v>
      </c>
      <c r="C42" s="558" t="str">
        <f>+'[1]2_Земљани'!B23</f>
        <v>ГН 200-507.8.2</v>
      </c>
      <c r="D42" s="559" t="s">
        <v>1127</v>
      </c>
      <c r="E42" s="598" t="s">
        <v>632</v>
      </c>
      <c r="F42" s="561" t="s">
        <v>1102</v>
      </c>
      <c r="G42" s="599">
        <f>+'[1]2_Земљани'!W23</f>
        <v>85.81516620000001</v>
      </c>
      <c r="H42" s="563">
        <f>+'[1]2_Земљани'!X23+'[1]2_Земљани'!Y23</f>
        <v>88.57069874643967</v>
      </c>
      <c r="I42" s="564">
        <f t="shared" si="5"/>
        <v>174.38586494643968</v>
      </c>
      <c r="J42" s="600">
        <f t="shared" si="3"/>
        <v>209.26303793572762</v>
      </c>
    </row>
    <row r="43" spans="1:10" s="421" customFormat="1" ht="17.25" customHeight="1">
      <c r="A43" s="556" t="str">
        <f t="shared" si="4"/>
        <v>Б.</v>
      </c>
      <c r="B43" s="557" t="s">
        <v>630</v>
      </c>
      <c r="C43" s="558" t="str">
        <f>+'[1]2_Земљани'!B24</f>
        <v>ГН 200-507.7.2</v>
      </c>
      <c r="D43" s="559" t="s">
        <v>1128</v>
      </c>
      <c r="E43" s="598" t="s">
        <v>634</v>
      </c>
      <c r="F43" s="561" t="s">
        <v>1102</v>
      </c>
      <c r="G43" s="599">
        <f>+'[1]2_Земљани'!W24</f>
        <v>78.086262</v>
      </c>
      <c r="H43" s="563">
        <f>+'[1]2_Земљани'!Y24</f>
        <v>137.51766384315636</v>
      </c>
      <c r="I43" s="564">
        <f t="shared" si="5"/>
        <v>215.60392584315636</v>
      </c>
      <c r="J43" s="600">
        <f t="shared" si="3"/>
        <v>258.72471101178763</v>
      </c>
    </row>
    <row r="44" spans="1:10" s="421" customFormat="1" ht="17.25" customHeight="1">
      <c r="A44" s="556" t="str">
        <f t="shared" si="4"/>
        <v>Б.</v>
      </c>
      <c r="B44" s="557" t="s">
        <v>631</v>
      </c>
      <c r="C44" s="558" t="str">
        <f>+'[1]2_Земљани'!B25</f>
        <v>ГН 200.507.5.2</v>
      </c>
      <c r="D44" s="559" t="s">
        <v>1129</v>
      </c>
      <c r="E44" s="598" t="s">
        <v>1130</v>
      </c>
      <c r="F44" s="561" t="s">
        <v>1102</v>
      </c>
      <c r="G44" s="599">
        <f>+'[1]2_Земљани'!W25</f>
        <v>41.924442000000006</v>
      </c>
      <c r="H44" s="563">
        <f>+'[1]2_Земљани'!X25+'[1]2_Земљани'!Y25</f>
        <v>200.4494761103635</v>
      </c>
      <c r="I44" s="564">
        <f t="shared" si="5"/>
        <v>242.3739181103635</v>
      </c>
      <c r="J44" s="600">
        <f t="shared" si="3"/>
        <v>290.84870173243615</v>
      </c>
    </row>
    <row r="45" spans="1:10" s="421" customFormat="1" ht="17.25" customHeight="1">
      <c r="A45" s="556" t="str">
        <f t="shared" si="4"/>
        <v>Б.</v>
      </c>
      <c r="B45" s="557" t="s">
        <v>633</v>
      </c>
      <c r="C45" s="558" t="str">
        <f>+'[1]2_Земљани'!B26</f>
        <v>ГН 200.507.6.1</v>
      </c>
      <c r="D45" s="559" t="s">
        <v>1131</v>
      </c>
      <c r="E45" s="598" t="s">
        <v>637</v>
      </c>
      <c r="F45" s="561" t="s">
        <v>1102</v>
      </c>
      <c r="G45" s="599">
        <f>+'[1]2_Земљани'!W26</f>
        <v>47.04906200000001</v>
      </c>
      <c r="H45" s="563">
        <f>+'[1]2_Земљани'!X26+'[1]2_Земљани'!Y26</f>
        <v>150.33710708277263</v>
      </c>
      <c r="I45" s="564">
        <f t="shared" si="5"/>
        <v>197.38616908277265</v>
      </c>
      <c r="J45" s="600">
        <f t="shared" si="3"/>
        <v>236.86340289932718</v>
      </c>
    </row>
    <row r="46" spans="1:10" s="421" customFormat="1" ht="17.25" customHeight="1">
      <c r="A46" s="556" t="str">
        <f t="shared" si="4"/>
        <v>Б.</v>
      </c>
      <c r="B46" s="557" t="s">
        <v>635</v>
      </c>
      <c r="C46" s="558" t="str">
        <f>+'[1]2_Земљани'!B27</f>
        <v>ГН 200.507.5.2</v>
      </c>
      <c r="D46" s="559" t="s">
        <v>1132</v>
      </c>
      <c r="E46" s="598" t="s">
        <v>639</v>
      </c>
      <c r="F46" s="561" t="s">
        <v>1102</v>
      </c>
      <c r="G46" s="599">
        <f>+'[1]2_Земљани'!W27</f>
        <v>41.924442000000006</v>
      </c>
      <c r="H46" s="563">
        <f>+'[1]2_Земљани'!X27+'[1]2_Земљани'!Y27</f>
        <v>200.4494761103635</v>
      </c>
      <c r="I46" s="564">
        <f t="shared" si="5"/>
        <v>242.3739181103635</v>
      </c>
      <c r="J46" s="600">
        <f t="shared" si="3"/>
        <v>290.84870173243615</v>
      </c>
    </row>
    <row r="47" spans="1:10" s="421" customFormat="1" ht="17.25" customHeight="1">
      <c r="A47" s="556" t="str">
        <f t="shared" si="4"/>
        <v>Б.</v>
      </c>
      <c r="B47" s="557" t="s">
        <v>636</v>
      </c>
      <c r="C47" s="558" t="str">
        <f>+'[1]2_Земљани'!B28</f>
        <v>ГН 200.311.1.2.‚11</v>
      </c>
      <c r="D47" s="559" t="s">
        <v>1133</v>
      </c>
      <c r="E47" s="598" t="s">
        <v>641</v>
      </c>
      <c r="F47" s="567" t="s">
        <v>597</v>
      </c>
      <c r="G47" s="599">
        <f>+'[1]2_Земљани'!W28</f>
        <v>75.57779820000002</v>
      </c>
      <c r="H47" s="563">
        <f>+'[1]2_Земљани'!X28+'[1]2_Земљани'!Y28</f>
        <v>228.41917045134448</v>
      </c>
      <c r="I47" s="564">
        <f t="shared" si="5"/>
        <v>303.9969686513445</v>
      </c>
      <c r="J47" s="600">
        <f t="shared" si="3"/>
        <v>364.7963623816134</v>
      </c>
    </row>
    <row r="48" spans="1:10" s="421" customFormat="1" ht="17.25" customHeight="1">
      <c r="A48" s="556" t="str">
        <f t="shared" si="4"/>
        <v>Б.</v>
      </c>
      <c r="B48" s="557" t="s">
        <v>638</v>
      </c>
      <c r="C48" s="558" t="str">
        <f>+'[1]2_Земљани'!B29</f>
        <v>ГН 200.311.1.2.21</v>
      </c>
      <c r="D48" s="559" t="s">
        <v>1134</v>
      </c>
      <c r="E48" s="598" t="s">
        <v>643</v>
      </c>
      <c r="F48" s="567" t="s">
        <v>597</v>
      </c>
      <c r="G48" s="599">
        <f>+'[1]2_Земљани'!W29</f>
        <v>123.45277160000003</v>
      </c>
      <c r="H48" s="563">
        <f>+'[1]2_Земљани'!X29+'[1]2_Земљани'!Y29</f>
        <v>380.8540046096906</v>
      </c>
      <c r="I48" s="564">
        <f t="shared" si="5"/>
        <v>504.3067762096906</v>
      </c>
      <c r="J48" s="600">
        <f t="shared" si="3"/>
        <v>605.1681314516287</v>
      </c>
    </row>
    <row r="49" spans="1:10" s="545" customFormat="1" ht="17.25" customHeight="1">
      <c r="A49" s="556" t="str">
        <f t="shared" si="4"/>
        <v>Б.</v>
      </c>
      <c r="B49" s="557" t="s">
        <v>640</v>
      </c>
      <c r="C49" s="558" t="str">
        <f>+'[1]2_Земљани'!B30</f>
        <v>ГН 200.311.1.2.32</v>
      </c>
      <c r="D49" s="559" t="s">
        <v>1135</v>
      </c>
      <c r="E49" s="598" t="s">
        <v>645</v>
      </c>
      <c r="F49" s="567" t="s">
        <v>597</v>
      </c>
      <c r="G49" s="599">
        <f>+'[1]2_Земљани'!W30</f>
        <v>556.0519294000001</v>
      </c>
      <c r="H49" s="563">
        <f>+'[1]2_Земљани'!X30+'[1]2_Земљани'!Y30</f>
        <v>986.6309678781031</v>
      </c>
      <c r="I49" s="564">
        <f t="shared" si="5"/>
        <v>1542.6828972781032</v>
      </c>
      <c r="J49" s="600">
        <f t="shared" si="3"/>
        <v>1851.2194767337237</v>
      </c>
    </row>
    <row r="50" spans="1:10" s="566" customFormat="1" ht="17.25" customHeight="1">
      <c r="A50" s="556" t="str">
        <f t="shared" si="4"/>
        <v>Б.</v>
      </c>
      <c r="B50" s="557" t="s">
        <v>642</v>
      </c>
      <c r="C50" s="558" t="str">
        <f>+'[1]2_Земљани'!B31</f>
        <v>ГН 200.312.1.1</v>
      </c>
      <c r="D50" s="559" t="s">
        <v>1136</v>
      </c>
      <c r="E50" s="598" t="s">
        <v>647</v>
      </c>
      <c r="F50" s="561" t="s">
        <v>1102</v>
      </c>
      <c r="G50" s="599">
        <f>+'[1]2_Земљани'!W31</f>
        <v>78.14424600000001</v>
      </c>
      <c r="H50" s="563">
        <f>+'[1]2_Земљани'!X31+'[1]2_Земљани'!Y31</f>
        <v>156.86336909566816</v>
      </c>
      <c r="I50" s="564">
        <f t="shared" si="5"/>
        <v>235.00761509566817</v>
      </c>
      <c r="J50" s="600">
        <f t="shared" si="3"/>
        <v>282.0091381148018</v>
      </c>
    </row>
    <row r="51" spans="1:10" s="566" customFormat="1" ht="17.25" customHeight="1">
      <c r="A51" s="556" t="str">
        <f t="shared" si="4"/>
        <v>Б.</v>
      </c>
      <c r="B51" s="557" t="s">
        <v>644</v>
      </c>
      <c r="C51" s="558"/>
      <c r="D51" s="573"/>
      <c r="E51" s="605" t="s">
        <v>649</v>
      </c>
      <c r="F51" s="561" t="s">
        <v>1102</v>
      </c>
      <c r="G51" s="599">
        <f>+'[1]2_Земљани'!W32</f>
        <v>0</v>
      </c>
      <c r="H51" s="563">
        <f>+'[1]2_Земљани'!Z32</f>
        <v>550</v>
      </c>
      <c r="I51" s="564">
        <f t="shared" si="5"/>
        <v>550</v>
      </c>
      <c r="J51" s="600">
        <f t="shared" si="3"/>
        <v>660</v>
      </c>
    </row>
    <row r="52" spans="1:10" s="566" customFormat="1" ht="17.25" customHeight="1">
      <c r="A52" s="556" t="str">
        <f t="shared" si="4"/>
        <v>Б.</v>
      </c>
      <c r="B52" s="557" t="s">
        <v>646</v>
      </c>
      <c r="C52" s="558" t="str">
        <f>+'[1]2_Земљани'!B33</f>
        <v>ГН 200.312.2.1</v>
      </c>
      <c r="D52" s="559" t="s">
        <v>1137</v>
      </c>
      <c r="E52" s="598" t="s">
        <v>651</v>
      </c>
      <c r="F52" s="561" t="s">
        <v>1102</v>
      </c>
      <c r="G52" s="599">
        <f>+'[1]2_Земљани'!W33</f>
        <v>78.93211</v>
      </c>
      <c r="H52" s="563">
        <f>+'[1]2_Земљани'!X33+'[1]2_Земљани'!Y33</f>
        <v>158.4949345988921</v>
      </c>
      <c r="I52" s="564">
        <f t="shared" si="5"/>
        <v>237.42704459889208</v>
      </c>
      <c r="J52" s="600">
        <f t="shared" si="3"/>
        <v>284.9124535186705</v>
      </c>
    </row>
    <row r="53" spans="1:10" s="606" customFormat="1" ht="17.25" customHeight="1">
      <c r="A53" s="556" t="str">
        <f t="shared" si="4"/>
        <v>Б.</v>
      </c>
      <c r="B53" s="557" t="s">
        <v>648</v>
      </c>
      <c r="C53" s="558" t="str">
        <f>+'[1]2_Земљани'!B34</f>
        <v>ГН 200.312.2.1</v>
      </c>
      <c r="D53" s="559" t="s">
        <v>1138</v>
      </c>
      <c r="E53" s="598" t="s">
        <v>653</v>
      </c>
      <c r="F53" s="561" t="s">
        <v>1102</v>
      </c>
      <c r="G53" s="599">
        <f>+'[1]2_Земљани'!W34</f>
        <v>80.92248959999999</v>
      </c>
      <c r="H53" s="563">
        <f>+'[1]2_Земљани'!X34+'[1]2_Земљани'!Y34</f>
        <v>162.48061604248184</v>
      </c>
      <c r="I53" s="564">
        <f t="shared" si="5"/>
        <v>243.40310564248182</v>
      </c>
      <c r="J53" s="600">
        <f t="shared" si="3"/>
        <v>292.08372677097816</v>
      </c>
    </row>
    <row r="54" spans="1:10" s="566" customFormat="1" ht="17.25" customHeight="1">
      <c r="A54" s="556" t="str">
        <f t="shared" si="4"/>
        <v>Б.</v>
      </c>
      <c r="B54" s="557" t="s">
        <v>650</v>
      </c>
      <c r="C54" s="558" t="str">
        <f>+'[1]2_Земљани'!B35</f>
        <v>ГН 200.1.4</v>
      </c>
      <c r="D54" s="591" t="s">
        <v>1139</v>
      </c>
      <c r="E54" s="602" t="s">
        <v>655</v>
      </c>
      <c r="F54" s="603" t="s">
        <v>1102</v>
      </c>
      <c r="G54" s="599">
        <f>+'[1]2_Земљани'!W35</f>
        <v>0</v>
      </c>
      <c r="H54" s="563">
        <f>+'[1]2_Земљани'!X35+'[1]2_Земљани'!Y35</f>
        <v>53.22011284325543</v>
      </c>
      <c r="I54" s="564">
        <f t="shared" si="5"/>
        <v>53.22011284325543</v>
      </c>
      <c r="J54" s="604">
        <f t="shared" si="3"/>
        <v>63.86413541190651</v>
      </c>
    </row>
    <row r="55" spans="1:10" s="566" customFormat="1" ht="17.25" customHeight="1">
      <c r="A55" s="556" t="str">
        <f t="shared" si="4"/>
        <v>Б.</v>
      </c>
      <c r="B55" s="557" t="s">
        <v>652</v>
      </c>
      <c r="C55" s="558" t="str">
        <f>+'[1]2_Земљани'!B36</f>
        <v>ГН 200.1.4</v>
      </c>
      <c r="D55" s="559" t="s">
        <v>1140</v>
      </c>
      <c r="E55" s="598" t="s">
        <v>657</v>
      </c>
      <c r="F55" s="561" t="s">
        <v>1102</v>
      </c>
      <c r="G55" s="599">
        <f>+'[1]2_Земљани'!W36</f>
        <v>0</v>
      </c>
      <c r="H55" s="563">
        <f>+'[1]2_Земљани'!X36+'[1]2_Земљани'!Y36</f>
        <v>50.50083700454894</v>
      </c>
      <c r="I55" s="564">
        <f t="shared" si="5"/>
        <v>50.50083700454894</v>
      </c>
      <c r="J55" s="600">
        <f t="shared" si="3"/>
        <v>60.601004405458724</v>
      </c>
    </row>
    <row r="56" spans="1:10" s="566" customFormat="1" ht="17.25" customHeight="1">
      <c r="A56" s="556" t="str">
        <f t="shared" si="4"/>
        <v>Б.</v>
      </c>
      <c r="B56" s="557" t="s">
        <v>654</v>
      </c>
      <c r="C56" s="558" t="str">
        <f>+'[1]2_Земљани'!B37</f>
        <v>ГН 200.315.1.1</v>
      </c>
      <c r="D56" s="559" t="s">
        <v>1141</v>
      </c>
      <c r="E56" s="598" t="s">
        <v>659</v>
      </c>
      <c r="F56" s="561" t="s">
        <v>1102</v>
      </c>
      <c r="G56" s="599">
        <f>+'[1]2_Земљани'!W37</f>
        <v>0</v>
      </c>
      <c r="H56" s="563">
        <f>+'[1]2_Земљани'!X37+'[1]2_Земљани'!Y37</f>
        <v>65.26262012895556</v>
      </c>
      <c r="I56" s="564">
        <f t="shared" si="5"/>
        <v>65.26262012895556</v>
      </c>
      <c r="J56" s="600">
        <f t="shared" si="3"/>
        <v>78.31514415474668</v>
      </c>
    </row>
    <row r="57" spans="1:10" s="566" customFormat="1" ht="17.25" customHeight="1">
      <c r="A57" s="556" t="str">
        <f t="shared" si="4"/>
        <v>Б.</v>
      </c>
      <c r="B57" s="557" t="s">
        <v>656</v>
      </c>
      <c r="C57" s="558" t="str">
        <f>+'[1]2_Земљани'!B38</f>
        <v>ГН 200.316.1</v>
      </c>
      <c r="D57" s="559" t="s">
        <v>1142</v>
      </c>
      <c r="E57" s="598" t="s">
        <v>661</v>
      </c>
      <c r="F57" s="567" t="s">
        <v>597</v>
      </c>
      <c r="G57" s="599">
        <f>+'[1]2_Земљани'!W38</f>
        <v>0</v>
      </c>
      <c r="H57" s="563">
        <f>+'[1]2_Земљани'!X38+'[1]2_Земљани'!Y38</f>
        <v>787.1587954150343</v>
      </c>
      <c r="I57" s="564">
        <f t="shared" si="5"/>
        <v>787.1587954150343</v>
      </c>
      <c r="J57" s="600">
        <f t="shared" si="3"/>
        <v>944.5905544980411</v>
      </c>
    </row>
    <row r="58" spans="1:10" s="566" customFormat="1" ht="17.25" customHeight="1">
      <c r="A58" s="556" t="str">
        <f t="shared" si="4"/>
        <v>Б.</v>
      </c>
      <c r="B58" s="557" t="s">
        <v>658</v>
      </c>
      <c r="C58" s="558" t="str">
        <f>+'[1]2_Земљани'!B39</f>
        <v>ГН 200.316.1.2</v>
      </c>
      <c r="D58" s="559" t="s">
        <v>1143</v>
      </c>
      <c r="E58" s="598" t="s">
        <v>663</v>
      </c>
      <c r="F58" s="567" t="s">
        <v>597</v>
      </c>
      <c r="G58" s="599">
        <f>+'[1]2_Земљани'!W39</f>
        <v>0</v>
      </c>
      <c r="H58" s="563">
        <f>+'[1]2_Земљани'!X39+'[1]2_Земљани'!Y39</f>
        <v>74.96750432524138</v>
      </c>
      <c r="I58" s="564">
        <f t="shared" si="5"/>
        <v>74.96750432524138</v>
      </c>
      <c r="J58" s="600">
        <f t="shared" si="3"/>
        <v>89.96100519028965</v>
      </c>
    </row>
    <row r="59" spans="1:10" s="545" customFormat="1" ht="17.25" customHeight="1">
      <c r="A59" s="556" t="str">
        <f t="shared" si="4"/>
        <v>Б.</v>
      </c>
      <c r="B59" s="557" t="s">
        <v>660</v>
      </c>
      <c r="C59" s="558" t="str">
        <f>+'[1]2_Земљани'!B40</f>
        <v>ГН 200.317.1.A.1</v>
      </c>
      <c r="D59" s="559" t="s">
        <v>1144</v>
      </c>
      <c r="E59" s="598" t="s">
        <v>665</v>
      </c>
      <c r="F59" s="561" t="s">
        <v>1079</v>
      </c>
      <c r="G59" s="599">
        <f>+'[1]2_Земљани'!W40</f>
        <v>0</v>
      </c>
      <c r="H59" s="563">
        <f>+'[1]2_Земљани'!X40+'[1]2_Земљани'!Y40</f>
        <v>209.90901211067586</v>
      </c>
      <c r="I59" s="564">
        <f t="shared" si="5"/>
        <v>209.90901211067586</v>
      </c>
      <c r="J59" s="600">
        <f t="shared" si="3"/>
        <v>251.89081453281102</v>
      </c>
    </row>
    <row r="60" spans="1:10" s="545" customFormat="1" ht="17.25" customHeight="1">
      <c r="A60" s="556" t="str">
        <f t="shared" si="4"/>
        <v>Б.</v>
      </c>
      <c r="B60" s="557" t="s">
        <v>662</v>
      </c>
      <c r="C60" s="558" t="str">
        <f>+'[1]2_Земљани'!B41</f>
        <v>ГН 200.317.1.B.1</v>
      </c>
      <c r="D60" s="559" t="s">
        <v>1145</v>
      </c>
      <c r="E60" s="598" t="s">
        <v>667</v>
      </c>
      <c r="F60" s="561" t="s">
        <v>1079</v>
      </c>
      <c r="G60" s="599">
        <f>+'[1]2_Земљани'!W41</f>
        <v>0</v>
      </c>
      <c r="H60" s="563">
        <f>+'[1]2_Земљани'!X41+'[1]2_Земљани'!Y41</f>
        <v>262.3862651383448</v>
      </c>
      <c r="I60" s="564">
        <f t="shared" si="5"/>
        <v>262.3862651383448</v>
      </c>
      <c r="J60" s="600">
        <f t="shared" si="3"/>
        <v>314.86351816601376</v>
      </c>
    </row>
    <row r="61" spans="1:10" s="545" customFormat="1" ht="17.25" customHeight="1">
      <c r="A61" s="556" t="str">
        <f t="shared" si="4"/>
        <v>Б.</v>
      </c>
      <c r="B61" s="557" t="s">
        <v>664</v>
      </c>
      <c r="C61" s="558"/>
      <c r="D61" s="559"/>
      <c r="E61" s="598" t="s">
        <v>669</v>
      </c>
      <c r="F61" s="561" t="s">
        <v>1102</v>
      </c>
      <c r="G61" s="599">
        <f>+'[1]2_Земљани'!W46</f>
        <v>780</v>
      </c>
      <c r="H61" s="563">
        <f>+'[1]2_Земљани'!X46+'[1]2_Земљани'!Y46</f>
        <v>1870.4384585559978</v>
      </c>
      <c r="I61" s="564">
        <f t="shared" si="5"/>
        <v>2650.438458555998</v>
      </c>
      <c r="J61" s="600">
        <f t="shared" si="3"/>
        <v>3180.5261502671974</v>
      </c>
    </row>
    <row r="62" spans="1:10" s="545" customFormat="1" ht="17.25" customHeight="1">
      <c r="A62" s="556" t="str">
        <f t="shared" si="4"/>
        <v>Б.</v>
      </c>
      <c r="B62" s="557" t="s">
        <v>666</v>
      </c>
      <c r="C62" s="558"/>
      <c r="D62" s="559"/>
      <c r="E62" s="598" t="s">
        <v>671</v>
      </c>
      <c r="F62" s="561" t="s">
        <v>1102</v>
      </c>
      <c r="G62" s="599">
        <f>+'[1]2_Земљани'!W47</f>
        <v>1800</v>
      </c>
      <c r="H62" s="563">
        <f>+'[1]2_Земљани'!X47+'[1]2_Земљани'!Y47</f>
        <v>1870.4384585559978</v>
      </c>
      <c r="I62" s="564">
        <f>+G62++H62</f>
        <v>3670.438458555998</v>
      </c>
      <c r="J62" s="600">
        <f t="shared" si="3"/>
        <v>4404.526150267197</v>
      </c>
    </row>
    <row r="63" spans="1:10" s="545" customFormat="1" ht="17.25" customHeight="1">
      <c r="A63" s="546"/>
      <c r="B63" s="607"/>
      <c r="C63" s="608"/>
      <c r="D63" s="609"/>
      <c r="E63" s="610"/>
      <c r="F63" s="611"/>
      <c r="G63" s="581"/>
      <c r="H63" s="582"/>
      <c r="I63" s="564"/>
      <c r="J63" s="600"/>
    </row>
    <row r="64" spans="1:10" s="545" customFormat="1" ht="20.25" customHeight="1" thickBot="1">
      <c r="A64" s="842" t="s">
        <v>1146</v>
      </c>
      <c r="B64" s="843"/>
      <c r="C64" s="612"/>
      <c r="D64" s="538"/>
      <c r="E64" s="539" t="s">
        <v>672</v>
      </c>
      <c r="F64" s="540"/>
      <c r="G64" s="613"/>
      <c r="H64" s="614"/>
      <c r="I64" s="587"/>
      <c r="J64" s="588"/>
    </row>
    <row r="65" spans="1:10" s="545" customFormat="1" ht="17.25" customHeight="1">
      <c r="A65" s="546"/>
      <c r="B65" s="589"/>
      <c r="C65" s="615"/>
      <c r="D65" s="591"/>
      <c r="E65" s="592"/>
      <c r="F65" s="593"/>
      <c r="G65" s="594"/>
      <c r="H65" s="595"/>
      <c r="I65" s="596"/>
      <c r="J65" s="597"/>
    </row>
    <row r="66" spans="1:10" s="566" customFormat="1" ht="17.25" customHeight="1">
      <c r="A66" s="556" t="str">
        <f>+$A$64</f>
        <v>Ц.</v>
      </c>
      <c r="B66" s="557" t="s">
        <v>588</v>
      </c>
      <c r="C66" s="558" t="s">
        <v>1147</v>
      </c>
      <c r="D66" s="559" t="s">
        <v>1148</v>
      </c>
      <c r="E66" s="598" t="s">
        <v>673</v>
      </c>
      <c r="F66" s="561" t="s">
        <v>1079</v>
      </c>
      <c r="G66" s="562">
        <f>+'[1]3_Тесарски'!AL6</f>
        <v>791.55</v>
      </c>
      <c r="H66" s="616">
        <f>+SUM('[1]3_Тесарски'!AM6:AP10)</f>
        <v>370.56573692520135</v>
      </c>
      <c r="I66" s="564">
        <f>+G66++H66</f>
        <v>1162.1157369252014</v>
      </c>
      <c r="J66" s="565">
        <f>+$I66*$J$5</f>
        <v>1394.5388843102417</v>
      </c>
    </row>
    <row r="67" spans="1:10" s="566" customFormat="1" ht="17.25" customHeight="1">
      <c r="A67" s="556" t="str">
        <f>+$A$64</f>
        <v>Ц.</v>
      </c>
      <c r="B67" s="557" t="s">
        <v>590</v>
      </c>
      <c r="C67" s="558" t="s">
        <v>1149</v>
      </c>
      <c r="D67" s="559" t="s">
        <v>1150</v>
      </c>
      <c r="E67" s="598" t="s">
        <v>1151</v>
      </c>
      <c r="F67" s="561" t="s">
        <v>1079</v>
      </c>
      <c r="G67" s="562">
        <f>+'[1]3_Тесарски'!AL11</f>
        <v>1374.549089473684</v>
      </c>
      <c r="H67" s="617">
        <f>+SUM('[1]3_Тесарски'!AM11:AP11)</f>
        <v>1015.1131673395623</v>
      </c>
      <c r="I67" s="564">
        <f>+G67++H67</f>
        <v>2389.662256813246</v>
      </c>
      <c r="J67" s="565">
        <f>+$I67*$J$5</f>
        <v>2867.5947081758954</v>
      </c>
    </row>
    <row r="68" spans="1:10" s="566" customFormat="1" ht="17.25" customHeight="1">
      <c r="A68" s="556" t="str">
        <f>+$A$64</f>
        <v>Ц.</v>
      </c>
      <c r="B68" s="557" t="s">
        <v>593</v>
      </c>
      <c r="C68" s="558" t="s">
        <v>1152</v>
      </c>
      <c r="D68" s="559" t="s">
        <v>1153</v>
      </c>
      <c r="E68" s="598" t="s">
        <v>1154</v>
      </c>
      <c r="F68" s="561" t="s">
        <v>1079</v>
      </c>
      <c r="G68" s="562">
        <f>+'[1]3_Тесарски'!AL12</f>
        <v>1541.6852000000001</v>
      </c>
      <c r="H68" s="617">
        <f>+SUM('[1]3_Тесарски'!AM12:AP12)</f>
        <v>2689.623873568443</v>
      </c>
      <c r="I68" s="564">
        <f>+G68++H68</f>
        <v>4231.309073568443</v>
      </c>
      <c r="J68" s="565">
        <f>+$I68*$J$5</f>
        <v>5077.570888282131</v>
      </c>
    </row>
    <row r="69" spans="1:10" s="566" customFormat="1" ht="17.25" customHeight="1">
      <c r="A69" s="556" t="str">
        <f>+$A$64</f>
        <v>Ц.</v>
      </c>
      <c r="B69" s="557" t="s">
        <v>595</v>
      </c>
      <c r="C69" s="558" t="s">
        <v>1149</v>
      </c>
      <c r="D69" s="559" t="s">
        <v>1155</v>
      </c>
      <c r="E69" s="598" t="s">
        <v>1156</v>
      </c>
      <c r="F69" s="561" t="s">
        <v>1079</v>
      </c>
      <c r="G69" s="562">
        <f>+'[1]3_Тесарски'!AL13</f>
        <v>0</v>
      </c>
      <c r="H69" s="617">
        <f>+SUM('[1]3_Тесарски'!AM13:AP13)</f>
        <v>1015.1131673395623</v>
      </c>
      <c r="I69" s="564">
        <f>+G69++H69</f>
        <v>1015.1131673395623</v>
      </c>
      <c r="J69" s="565">
        <f>+$I69*$J$5</f>
        <v>1218.1358008074747</v>
      </c>
    </row>
    <row r="70" spans="1:10" s="566" customFormat="1" ht="17.25" customHeight="1">
      <c r="A70" s="556" t="str">
        <f>+$A$64</f>
        <v>Ц.</v>
      </c>
      <c r="B70" s="557" t="s">
        <v>598</v>
      </c>
      <c r="C70" s="558" t="s">
        <v>1152</v>
      </c>
      <c r="D70" s="559" t="s">
        <v>1157</v>
      </c>
      <c r="E70" s="598" t="s">
        <v>1158</v>
      </c>
      <c r="F70" s="561" t="s">
        <v>1079</v>
      </c>
      <c r="G70" s="562">
        <f>+'[1]3_Тесарски'!AL14</f>
        <v>0</v>
      </c>
      <c r="H70" s="617">
        <f>+SUM('[1]3_Тесарски'!AM14:AP14)</f>
        <v>2689.623873568443</v>
      </c>
      <c r="I70" s="564">
        <f>+G70++H70</f>
        <v>2689.623873568443</v>
      </c>
      <c r="J70" s="565">
        <f>+$I70*$J$5</f>
        <v>3227.548648282131</v>
      </c>
    </row>
    <row r="71" spans="1:10" s="566" customFormat="1" ht="17.25" customHeight="1">
      <c r="A71" s="618"/>
      <c r="B71" s="619"/>
      <c r="C71" s="608"/>
      <c r="D71" s="609"/>
      <c r="E71" s="610"/>
      <c r="F71" s="611"/>
      <c r="G71" s="620"/>
      <c r="H71" s="621"/>
      <c r="I71" s="622"/>
      <c r="J71" s="623"/>
    </row>
    <row r="72" spans="1:10" s="545" customFormat="1" ht="20.25" customHeight="1" thickBot="1">
      <c r="A72" s="842" t="s">
        <v>1159</v>
      </c>
      <c r="B72" s="843"/>
      <c r="C72" s="612"/>
      <c r="D72" s="538"/>
      <c r="E72" s="539" t="s">
        <v>674</v>
      </c>
      <c r="F72" s="540"/>
      <c r="G72" s="585"/>
      <c r="H72" s="586"/>
      <c r="I72" s="587"/>
      <c r="J72" s="588"/>
    </row>
    <row r="73" spans="1:10" s="545" customFormat="1" ht="17.25" customHeight="1">
      <c r="A73" s="546"/>
      <c r="B73" s="589"/>
      <c r="C73" s="615"/>
      <c r="D73" s="591"/>
      <c r="E73" s="592"/>
      <c r="F73" s="593"/>
      <c r="G73" s="594"/>
      <c r="H73" s="595"/>
      <c r="I73" s="596"/>
      <c r="J73" s="597"/>
    </row>
    <row r="74" spans="1:10" s="566" customFormat="1" ht="17.25" customHeight="1">
      <c r="A74" s="556" t="str">
        <f>+$A$72</f>
        <v>Д.</v>
      </c>
      <c r="B74" s="557" t="s">
        <v>588</v>
      </c>
      <c r="C74" s="558" t="s">
        <v>1160</v>
      </c>
      <c r="D74" s="559" t="s">
        <v>1161</v>
      </c>
      <c r="E74" s="598" t="s">
        <v>675</v>
      </c>
      <c r="F74" s="567" t="s">
        <v>676</v>
      </c>
      <c r="G74" s="599">
        <f>+'[1]4_Армирачки'!S18</f>
        <v>86.176</v>
      </c>
      <c r="H74" s="616">
        <f>+'[1]4_Армирачки'!T18+'[1]4_Армирачки'!U18+'[1]4_Армирачки'!V18</f>
        <v>157.46310913027014</v>
      </c>
      <c r="I74" s="564">
        <f>+G74++H74</f>
        <v>243.63910913027013</v>
      </c>
      <c r="J74" s="565">
        <f>+$I74*$J$5</f>
        <v>292.36693095632415</v>
      </c>
    </row>
    <row r="75" spans="1:10" s="566" customFormat="1" ht="17.25" customHeight="1">
      <c r="A75" s="556" t="str">
        <f>+$A$72</f>
        <v>Д.</v>
      </c>
      <c r="B75" s="557" t="s">
        <v>590</v>
      </c>
      <c r="C75" s="558" t="s">
        <v>1162</v>
      </c>
      <c r="D75" s="559" t="s">
        <v>1163</v>
      </c>
      <c r="E75" s="598" t="s">
        <v>677</v>
      </c>
      <c r="F75" s="567" t="s">
        <v>676</v>
      </c>
      <c r="G75" s="599">
        <f>+SUM('[1]4_Армирачки'!S24:S28)</f>
        <v>87.2175</v>
      </c>
      <c r="H75" s="563">
        <f>+SUM('[1]4_Армирачки'!T24:V28)</f>
        <v>87.196748848988</v>
      </c>
      <c r="I75" s="564">
        <f>+G75++H75</f>
        <v>174.414248848988</v>
      </c>
      <c r="J75" s="565">
        <f>+$I75*$J$5</f>
        <v>209.29709861878558</v>
      </c>
    </row>
    <row r="76" spans="1:10" s="566" customFormat="1" ht="17.25" customHeight="1">
      <c r="A76" s="624"/>
      <c r="B76" s="619"/>
      <c r="C76" s="608"/>
      <c r="D76" s="609"/>
      <c r="E76" s="610"/>
      <c r="F76" s="580"/>
      <c r="G76" s="581"/>
      <c r="H76" s="582"/>
      <c r="I76" s="622"/>
      <c r="J76" s="623"/>
    </row>
    <row r="77" spans="1:10" s="545" customFormat="1" ht="20.25" customHeight="1" thickBot="1">
      <c r="A77" s="842" t="s">
        <v>1164</v>
      </c>
      <c r="B77" s="843"/>
      <c r="C77" s="612"/>
      <c r="D77" s="538"/>
      <c r="E77" s="539" t="s">
        <v>678</v>
      </c>
      <c r="F77" s="540"/>
      <c r="G77" s="585"/>
      <c r="H77" s="586"/>
      <c r="I77" s="587"/>
      <c r="J77" s="588"/>
    </row>
    <row r="78" spans="1:10" s="545" customFormat="1" ht="17.25" customHeight="1">
      <c r="A78" s="546"/>
      <c r="B78" s="589"/>
      <c r="C78" s="615"/>
      <c r="D78" s="591"/>
      <c r="E78" s="592"/>
      <c r="F78" s="593"/>
      <c r="G78" s="594"/>
      <c r="H78" s="595"/>
      <c r="I78" s="596"/>
      <c r="J78" s="597"/>
    </row>
    <row r="79" spans="1:10" s="566" customFormat="1" ht="17.25" customHeight="1">
      <c r="A79" s="556" t="str">
        <f>+$A$77</f>
        <v>Е.</v>
      </c>
      <c r="B79" s="557" t="s">
        <v>588</v>
      </c>
      <c r="C79" s="558" t="s">
        <v>1165</v>
      </c>
      <c r="D79" s="559" t="s">
        <v>1166</v>
      </c>
      <c r="E79" s="598" t="s">
        <v>1167</v>
      </c>
      <c r="F79" s="561" t="s">
        <v>1102</v>
      </c>
      <c r="G79" s="562">
        <f>+'[1]5_Бетонски'!K6</f>
        <v>6000</v>
      </c>
      <c r="H79" s="563">
        <f>+SUM('[1]5_Бетонски'!R11:V11)</f>
        <v>9654.785025720113</v>
      </c>
      <c r="I79" s="564">
        <f>+G79++H79</f>
        <v>15654.785025720113</v>
      </c>
      <c r="J79" s="565">
        <f aca="true" t="shared" si="6" ref="J79:J87">+$I79*$J$5</f>
        <v>18785.742030864134</v>
      </c>
    </row>
    <row r="80" spans="1:10" s="545" customFormat="1" ht="17.25" customHeight="1">
      <c r="A80" s="556" t="str">
        <f aca="true" t="shared" si="7" ref="A80:A87">+$A$77</f>
        <v>Е.</v>
      </c>
      <c r="B80" s="557" t="s">
        <v>590</v>
      </c>
      <c r="C80" s="558" t="s">
        <v>1165</v>
      </c>
      <c r="D80" s="559" t="s">
        <v>1168</v>
      </c>
      <c r="E80" s="598" t="s">
        <v>1169</v>
      </c>
      <c r="F80" s="561" t="s">
        <v>1102</v>
      </c>
      <c r="G80" s="562">
        <f>+'[1]5_Бетонски'!K12</f>
        <v>6600</v>
      </c>
      <c r="H80" s="563">
        <f>+SUM('[1]5_Бетонски'!R17:V17)</f>
        <v>9654.785025720113</v>
      </c>
      <c r="I80" s="564">
        <f aca="true" t="shared" si="8" ref="I80:I87">+G80++H80</f>
        <v>16254.785025720113</v>
      </c>
      <c r="J80" s="565">
        <f t="shared" si="6"/>
        <v>19505.742030864134</v>
      </c>
    </row>
    <row r="81" spans="1:10" s="566" customFormat="1" ht="17.25" customHeight="1">
      <c r="A81" s="556" t="str">
        <f t="shared" si="7"/>
        <v>Е.</v>
      </c>
      <c r="B81" s="557" t="s">
        <v>593</v>
      </c>
      <c r="C81" s="558" t="s">
        <v>1165</v>
      </c>
      <c r="D81" s="559" t="s">
        <v>1170</v>
      </c>
      <c r="E81" s="598" t="s">
        <v>1171</v>
      </c>
      <c r="F81" s="561" t="s">
        <v>1102</v>
      </c>
      <c r="G81" s="562">
        <f>+'[1]5_Бетонски'!K18</f>
        <v>6800</v>
      </c>
      <c r="H81" s="563">
        <f>+SUM('[1]5_Бетонски'!R23:V23)</f>
        <v>9654.785025720113</v>
      </c>
      <c r="I81" s="564">
        <f t="shared" si="8"/>
        <v>16454.785025720113</v>
      </c>
      <c r="J81" s="565">
        <f t="shared" si="6"/>
        <v>19745.742030864134</v>
      </c>
    </row>
    <row r="82" spans="1:10" s="566" customFormat="1" ht="17.25" customHeight="1">
      <c r="A82" s="556" t="str">
        <f t="shared" si="7"/>
        <v>Е.</v>
      </c>
      <c r="B82" s="557" t="s">
        <v>595</v>
      </c>
      <c r="C82" s="558" t="s">
        <v>1172</v>
      </c>
      <c r="D82" s="559" t="s">
        <v>1173</v>
      </c>
      <c r="E82" s="598" t="s">
        <v>1174</v>
      </c>
      <c r="F82" s="561" t="s">
        <v>1102</v>
      </c>
      <c r="G82" s="562">
        <f>+'[1]5_Бетонски'!K24</f>
        <v>7300</v>
      </c>
      <c r="H82" s="563">
        <f>+SUM('[1]5_Бетонски'!R29:V29)</f>
        <v>9654.785025720113</v>
      </c>
      <c r="I82" s="564">
        <f t="shared" si="8"/>
        <v>16954.785025720113</v>
      </c>
      <c r="J82" s="565">
        <f t="shared" si="6"/>
        <v>20345.742030864134</v>
      </c>
    </row>
    <row r="83" spans="1:10" s="566" customFormat="1" ht="17.25" customHeight="1">
      <c r="A83" s="556" t="str">
        <f t="shared" si="7"/>
        <v>Е.</v>
      </c>
      <c r="B83" s="557" t="s">
        <v>598</v>
      </c>
      <c r="C83" s="558" t="s">
        <v>1172</v>
      </c>
      <c r="D83" s="559" t="s">
        <v>1175</v>
      </c>
      <c r="E83" s="598" t="s">
        <v>1176</v>
      </c>
      <c r="F83" s="561" t="s">
        <v>1102</v>
      </c>
      <c r="G83" s="562">
        <f>+'[1]5_Бетонски'!K30</f>
        <v>8100</v>
      </c>
      <c r="H83" s="563">
        <f>+SUM('[1]5_Бетонски'!R35:V35)</f>
        <v>9654.785025720113</v>
      </c>
      <c r="I83" s="564">
        <f t="shared" si="8"/>
        <v>17754.785025720113</v>
      </c>
      <c r="J83" s="565">
        <f t="shared" si="6"/>
        <v>21305.742030864134</v>
      </c>
    </row>
    <row r="84" spans="1:10" s="566" customFormat="1" ht="17.25" customHeight="1">
      <c r="A84" s="556" t="str">
        <f t="shared" si="7"/>
        <v>Е.</v>
      </c>
      <c r="B84" s="557" t="s">
        <v>600</v>
      </c>
      <c r="C84" s="558" t="s">
        <v>1172</v>
      </c>
      <c r="D84" s="559" t="s">
        <v>1177</v>
      </c>
      <c r="E84" s="598" t="s">
        <v>1178</v>
      </c>
      <c r="F84" s="561" t="s">
        <v>1102</v>
      </c>
      <c r="G84" s="562">
        <f>+'[1]5_Бетонски'!K36</f>
        <v>9000</v>
      </c>
      <c r="H84" s="563">
        <f>+SUM('[1]5_Бетонски'!R41:V41)</f>
        <v>9654.785025720113</v>
      </c>
      <c r="I84" s="564">
        <f t="shared" si="8"/>
        <v>18654.785025720113</v>
      </c>
      <c r="J84" s="565">
        <f t="shared" si="6"/>
        <v>22385.742030864134</v>
      </c>
    </row>
    <row r="85" spans="1:10" s="566" customFormat="1" ht="31.5">
      <c r="A85" s="556" t="str">
        <f t="shared" si="7"/>
        <v>Е.</v>
      </c>
      <c r="B85" s="557" t="s">
        <v>601</v>
      </c>
      <c r="C85" s="625" t="s">
        <v>1179</v>
      </c>
      <c r="D85" s="559" t="s">
        <v>1180</v>
      </c>
      <c r="E85" s="598" t="s">
        <v>1181</v>
      </c>
      <c r="F85" s="561" t="s">
        <v>1102</v>
      </c>
      <c r="G85" s="562">
        <f>+'[1]5_Бетонски'!$Q$50</f>
        <v>6548.9936</v>
      </c>
      <c r="H85" s="563">
        <f>+'[1]5_Бетонски'!$T$50+'[1]5_Бетонски'!$U$53+'[1]5_Бетонски'!$U$54</f>
        <v>9320.810678126716</v>
      </c>
      <c r="I85" s="564">
        <f t="shared" si="8"/>
        <v>15869.804278126716</v>
      </c>
      <c r="J85" s="565">
        <f t="shared" si="6"/>
        <v>19043.76513375206</v>
      </c>
    </row>
    <row r="86" spans="1:10" s="545" customFormat="1" ht="31.5">
      <c r="A86" s="556" t="str">
        <f t="shared" si="7"/>
        <v>Е.</v>
      </c>
      <c r="B86" s="557" t="s">
        <v>602</v>
      </c>
      <c r="C86" s="625" t="s">
        <v>1182</v>
      </c>
      <c r="D86" s="559" t="s">
        <v>1183</v>
      </c>
      <c r="E86" s="598" t="s">
        <v>1184</v>
      </c>
      <c r="F86" s="561" t="s">
        <v>1102</v>
      </c>
      <c r="G86" s="562">
        <f>+'[1]5_Бетонски'!Q58</f>
        <v>7780.8678</v>
      </c>
      <c r="H86" s="563">
        <f>+'[1]5_Бетонски'!T58+SUM('[1]5_Бетонски'!R61:T62)</f>
        <v>9432.362324562673</v>
      </c>
      <c r="I86" s="564">
        <f t="shared" si="8"/>
        <v>17213.230124562673</v>
      </c>
      <c r="J86" s="565">
        <f t="shared" si="6"/>
        <v>20655.876149475207</v>
      </c>
    </row>
    <row r="87" spans="1:10" s="566" customFormat="1" ht="17.25" customHeight="1">
      <c r="A87" s="556" t="str">
        <f t="shared" si="7"/>
        <v>Е.</v>
      </c>
      <c r="B87" s="557" t="s">
        <v>603</v>
      </c>
      <c r="C87" s="569" t="s">
        <v>1185</v>
      </c>
      <c r="D87" s="559" t="s">
        <v>1186</v>
      </c>
      <c r="E87" s="626" t="s">
        <v>680</v>
      </c>
      <c r="F87" s="561" t="s">
        <v>1079</v>
      </c>
      <c r="G87" s="562">
        <f>+'[1]5_Бетонски'!AJ83*0.3/7*10+'[1]5_Бетонски'!Q76*0.2*0.25*0.4*10</f>
        <v>2120.722228571429</v>
      </c>
      <c r="H87" s="563">
        <f>+SUM('[1]5_Бетонски'!AK83:AN83)*0.3/7*10+'[1]5_Бетонски'!R76*0.2*0.25*0.4*10+'[1]5_Бетонски'!S76*0.2*0.25*0.4*10+'[1]5_Бетонски'!T76*0.2*0.25*0.4*10+'[1]5_Бетонски'!U76*0.2*0.25*0.4*10+'[1]5_Бетонски'!V76*0.2*0.25*0.4*10</f>
        <v>3314.1921401220793</v>
      </c>
      <c r="I87" s="564">
        <f t="shared" si="8"/>
        <v>5434.914368693508</v>
      </c>
      <c r="J87" s="571">
        <f t="shared" si="6"/>
        <v>6521.897242432209</v>
      </c>
    </row>
    <row r="88" spans="1:10" s="566" customFormat="1" ht="17.25" customHeight="1">
      <c r="A88" s="624"/>
      <c r="B88" s="619"/>
      <c r="C88" s="577"/>
      <c r="D88" s="578"/>
      <c r="E88" s="627"/>
      <c r="F88" s="611"/>
      <c r="G88" s="620"/>
      <c r="H88" s="621"/>
      <c r="I88" s="583"/>
      <c r="J88" s="584"/>
    </row>
    <row r="89" spans="1:10" s="566" customFormat="1" ht="19.5" customHeight="1" thickBot="1">
      <c r="A89" s="842" t="s">
        <v>1187</v>
      </c>
      <c r="B89" s="843"/>
      <c r="C89" s="612"/>
      <c r="D89" s="538"/>
      <c r="E89" s="539" t="s">
        <v>681</v>
      </c>
      <c r="F89" s="540"/>
      <c r="G89" s="585"/>
      <c r="H89" s="586"/>
      <c r="I89" s="587"/>
      <c r="J89" s="588"/>
    </row>
    <row r="90" spans="1:10" s="566" customFormat="1" ht="17.25" customHeight="1">
      <c r="A90" s="624"/>
      <c r="B90" s="628"/>
      <c r="C90" s="577"/>
      <c r="D90" s="578"/>
      <c r="E90" s="627"/>
      <c r="F90" s="611"/>
      <c r="G90" s="620"/>
      <c r="H90" s="621"/>
      <c r="I90" s="583"/>
      <c r="J90" s="584"/>
    </row>
    <row r="91" spans="1:10" s="566" customFormat="1" ht="17.25" customHeight="1">
      <c r="A91" s="556" t="str">
        <f>+$A$89</f>
        <v>Ф.</v>
      </c>
      <c r="B91" s="557" t="s">
        <v>588</v>
      </c>
      <c r="C91" s="569" t="s">
        <v>1188</v>
      </c>
      <c r="D91" s="559" t="s">
        <v>1189</v>
      </c>
      <c r="E91" s="627" t="s">
        <v>682</v>
      </c>
      <c r="F91" s="561" t="s">
        <v>1079</v>
      </c>
      <c r="G91" s="620">
        <f>+'[1]6_Зидарски'!W11</f>
        <v>923.157928643654</v>
      </c>
      <c r="H91" s="621">
        <f>+'[1]6_Зидарски'!AA11</f>
        <v>2942.1282333097274</v>
      </c>
      <c r="I91" s="564">
        <f>+G91++H91</f>
        <v>3865.2861619533815</v>
      </c>
      <c r="J91" s="584">
        <f>+$I91*$J$5</f>
        <v>4638.343394344058</v>
      </c>
    </row>
    <row r="92" spans="1:10" s="566" customFormat="1" ht="17.25" customHeight="1">
      <c r="A92" s="556" t="str">
        <f>+$A$89</f>
        <v>Ф.</v>
      </c>
      <c r="B92" s="557" t="s">
        <v>590</v>
      </c>
      <c r="C92" s="569" t="s">
        <v>1188</v>
      </c>
      <c r="D92" s="559" t="s">
        <v>1190</v>
      </c>
      <c r="E92" s="627" t="s">
        <v>683</v>
      </c>
      <c r="F92" s="561" t="s">
        <v>1079</v>
      </c>
      <c r="G92" s="620">
        <f>+'[1]6_Зидарски'!W16</f>
        <v>962.7143827741909</v>
      </c>
      <c r="H92" s="621">
        <f>+'[1]6_Зидарски'!AA16</f>
        <v>3337.7394416191646</v>
      </c>
      <c r="I92" s="564">
        <f>+G92++H92</f>
        <v>4300.453824393356</v>
      </c>
      <c r="J92" s="584">
        <f>+$I92*$J$5</f>
        <v>5160.544589272026</v>
      </c>
    </row>
    <row r="93" spans="1:10" s="566" customFormat="1" ht="17.25" customHeight="1">
      <c r="A93" s="556" t="str">
        <f>+$A$89</f>
        <v>Ф.</v>
      </c>
      <c r="B93" s="557" t="s">
        <v>593</v>
      </c>
      <c r="C93" s="569" t="s">
        <v>1188</v>
      </c>
      <c r="D93" s="559" t="s">
        <v>1191</v>
      </c>
      <c r="E93" s="627" t="s">
        <v>684</v>
      </c>
      <c r="F93" s="561" t="s">
        <v>1079</v>
      </c>
      <c r="G93" s="620">
        <f>+'[1]6_Зидарски'!W22</f>
        <v>1010.2822706526847</v>
      </c>
      <c r="H93" s="621">
        <f>+'[1]6_Зидарски'!AA22</f>
        <v>3566.4969722241012</v>
      </c>
      <c r="I93" s="564">
        <f>+G93++H93</f>
        <v>4576.779242876786</v>
      </c>
      <c r="J93" s="584">
        <f>+$I93*$J$5</f>
        <v>5492.135091452144</v>
      </c>
    </row>
    <row r="94" spans="1:10" s="566" customFormat="1" ht="17.25" customHeight="1">
      <c r="A94" s="556" t="str">
        <f>+$A$89</f>
        <v>Ф.</v>
      </c>
      <c r="B94" s="557" t="s">
        <v>595</v>
      </c>
      <c r="C94" s="569" t="s">
        <v>1192</v>
      </c>
      <c r="D94" s="559" t="s">
        <v>1193</v>
      </c>
      <c r="E94" s="627" t="s">
        <v>685</v>
      </c>
      <c r="F94" s="561" t="s">
        <v>1079</v>
      </c>
      <c r="G94" s="620">
        <f>+'[1]6_Зидарски'!W27*0.08+'[1]6_Зидарски'!AA38</f>
        <v>1139.1256789872741</v>
      </c>
      <c r="H94" s="621">
        <f>+SUM('[1]6_Зидарски'!X27:Z30)*0.08</f>
        <v>890.9901519510267</v>
      </c>
      <c r="I94" s="564">
        <f>+G94++H94</f>
        <v>2030.1158309383009</v>
      </c>
      <c r="J94" s="584">
        <f>+$I94*$J$5</f>
        <v>2436.138997125961</v>
      </c>
    </row>
    <row r="95" spans="1:10" s="566" customFormat="1" ht="17.25" customHeight="1">
      <c r="A95" s="556" t="str">
        <f>+$A$89</f>
        <v>Ф.</v>
      </c>
      <c r="B95" s="557" t="s">
        <v>598</v>
      </c>
      <c r="C95" s="569" t="s">
        <v>1194</v>
      </c>
      <c r="D95" s="559" t="s">
        <v>1195</v>
      </c>
      <c r="E95" s="627" t="s">
        <v>686</v>
      </c>
      <c r="F95" s="561" t="s">
        <v>1079</v>
      </c>
      <c r="G95" s="620">
        <f>+'[1]6_Зидарски'!AA38+'[1]6_Зидарски'!W46</f>
        <v>803.0856608694252</v>
      </c>
      <c r="H95" s="621">
        <f>+SUM('[1]6_Зидарски'!X46:Z48)</f>
        <v>682.0407238957139</v>
      </c>
      <c r="I95" s="564">
        <f>+G95++H95</f>
        <v>1485.126384765139</v>
      </c>
      <c r="J95" s="584">
        <f>+$I95*$J$5</f>
        <v>1782.1516617181667</v>
      </c>
    </row>
    <row r="96" spans="1:10" s="566" customFormat="1" ht="17.25" customHeight="1">
      <c r="A96" s="624"/>
      <c r="B96" s="619"/>
      <c r="C96" s="577"/>
      <c r="D96" s="578"/>
      <c r="E96" s="627"/>
      <c r="F96" s="611"/>
      <c r="G96" s="620"/>
      <c r="H96" s="621"/>
      <c r="I96" s="583"/>
      <c r="J96" s="584"/>
    </row>
    <row r="97" spans="1:12" s="545" customFormat="1" ht="19.5" customHeight="1" thickBot="1">
      <c r="A97" s="842" t="s">
        <v>1196</v>
      </c>
      <c r="B97" s="843"/>
      <c r="C97" s="612"/>
      <c r="D97" s="538"/>
      <c r="E97" s="539" t="s">
        <v>687</v>
      </c>
      <c r="F97" s="540"/>
      <c r="G97" s="585"/>
      <c r="H97" s="586"/>
      <c r="I97" s="587"/>
      <c r="J97" s="588"/>
      <c r="K97" s="629"/>
      <c r="L97" s="550"/>
    </row>
    <row r="98" spans="1:10" s="545" customFormat="1" ht="17.25" customHeight="1">
      <c r="A98" s="546"/>
      <c r="B98" s="589"/>
      <c r="C98" s="615"/>
      <c r="D98" s="591"/>
      <c r="E98" s="592"/>
      <c r="F98" s="593"/>
      <c r="G98" s="594"/>
      <c r="H98" s="595"/>
      <c r="I98" s="596"/>
      <c r="J98" s="597"/>
    </row>
    <row r="99" spans="1:12" s="566" customFormat="1" ht="17.25" customHeight="1">
      <c r="A99" s="556" t="str">
        <f>+$A$97</f>
        <v>Г.</v>
      </c>
      <c r="B99" s="557" t="s">
        <v>588</v>
      </c>
      <c r="C99" s="558" t="s">
        <v>1197</v>
      </c>
      <c r="D99" s="573" t="s">
        <v>1198</v>
      </c>
      <c r="E99" s="605" t="s">
        <v>1199</v>
      </c>
      <c r="F99" s="561" t="s">
        <v>592</v>
      </c>
      <c r="G99" s="562">
        <f>+'[1]7_Монтерски'!S7</f>
        <v>3740.2993759799974</v>
      </c>
      <c r="H99" s="616">
        <f>+SUM('[1]7_Монтерски'!T7:X10)</f>
        <v>5187.781286308432</v>
      </c>
      <c r="I99" s="564">
        <f>+G99++H99</f>
        <v>8928.08066228843</v>
      </c>
      <c r="J99" s="571">
        <f aca="true" t="shared" si="9" ref="J99:J152">+$I99*$J$5</f>
        <v>10713.696794746116</v>
      </c>
      <c r="K99" s="545"/>
      <c r="L99" s="545"/>
    </row>
    <row r="100" spans="1:10" s="566" customFormat="1" ht="17.25" customHeight="1">
      <c r="A100" s="556" t="str">
        <f aca="true" t="shared" si="10" ref="A100:A152">+$A$97</f>
        <v>Г.</v>
      </c>
      <c r="B100" s="557" t="s">
        <v>590</v>
      </c>
      <c r="C100" s="558" t="s">
        <v>1200</v>
      </c>
      <c r="D100" s="573" t="s">
        <v>1201</v>
      </c>
      <c r="E100" s="605" t="s">
        <v>1202</v>
      </c>
      <c r="F100" s="561" t="s">
        <v>592</v>
      </c>
      <c r="G100" s="562">
        <f>+'[1]7_Монтерски'!S12</f>
        <v>4973.209403156771</v>
      </c>
      <c r="H100" s="616">
        <f>+SUM('[1]7_Монтерски'!T12:X15)</f>
        <v>9128.0864760404</v>
      </c>
      <c r="I100" s="564">
        <f aca="true" t="shared" si="11" ref="I100:I152">+G100++H100</f>
        <v>14101.295879197172</v>
      </c>
      <c r="J100" s="571">
        <f t="shared" si="9"/>
        <v>16921.555055036606</v>
      </c>
    </row>
    <row r="101" spans="1:10" s="566" customFormat="1" ht="17.25" customHeight="1">
      <c r="A101" s="556" t="str">
        <f t="shared" si="10"/>
        <v>Г.</v>
      </c>
      <c r="B101" s="557" t="s">
        <v>593</v>
      </c>
      <c r="C101" s="558" t="s">
        <v>1203</v>
      </c>
      <c r="D101" s="573" t="s">
        <v>1204</v>
      </c>
      <c r="E101" s="605" t="s">
        <v>1205</v>
      </c>
      <c r="F101" s="561" t="s">
        <v>592</v>
      </c>
      <c r="G101" s="562">
        <f>+'[1]7_Монтерски'!S17</f>
        <v>6206.119430333545</v>
      </c>
      <c r="H101" s="616">
        <f>+SUM('[1]7_Монтерски'!T17:X20)</f>
        <v>12634.24159019922</v>
      </c>
      <c r="I101" s="564">
        <f t="shared" si="11"/>
        <v>18840.361020532764</v>
      </c>
      <c r="J101" s="571">
        <f t="shared" si="9"/>
        <v>22608.433224639317</v>
      </c>
    </row>
    <row r="102" spans="1:10" s="566" customFormat="1" ht="17.25" customHeight="1">
      <c r="A102" s="556" t="str">
        <f t="shared" si="10"/>
        <v>Г.</v>
      </c>
      <c r="B102" s="557" t="s">
        <v>595</v>
      </c>
      <c r="C102" s="558" t="s">
        <v>1206</v>
      </c>
      <c r="D102" s="573" t="s">
        <v>1207</v>
      </c>
      <c r="E102" s="605" t="s">
        <v>1208</v>
      </c>
      <c r="F102" s="561" t="s">
        <v>592</v>
      </c>
      <c r="G102" s="562">
        <f>+'[1]7_Монтерски'!S22</f>
        <v>12055.819430333544</v>
      </c>
      <c r="H102" s="616">
        <f>+SUM('[1]7_Монтерски'!T22:X25)</f>
        <v>12634.24159019922</v>
      </c>
      <c r="I102" s="564">
        <f t="shared" si="11"/>
        <v>24690.061020532765</v>
      </c>
      <c r="J102" s="571">
        <f t="shared" si="9"/>
        <v>29628.073224639316</v>
      </c>
    </row>
    <row r="103" spans="1:10" s="566" customFormat="1" ht="17.25" customHeight="1">
      <c r="A103" s="556" t="str">
        <f t="shared" si="10"/>
        <v>Г.</v>
      </c>
      <c r="B103" s="557" t="s">
        <v>598</v>
      </c>
      <c r="C103" s="558" t="s">
        <v>1206</v>
      </c>
      <c r="D103" s="573" t="s">
        <v>1209</v>
      </c>
      <c r="E103" s="605" t="s">
        <v>1210</v>
      </c>
      <c r="F103" s="561" t="s">
        <v>592</v>
      </c>
      <c r="G103" s="562">
        <f>+'[1]7_Монтерски'!S27</f>
        <v>12331.219430333544</v>
      </c>
      <c r="H103" s="616">
        <f>+SUM('[1]7_Монтерски'!T27:X30)</f>
        <v>12634.24159019922</v>
      </c>
      <c r="I103" s="564">
        <f t="shared" si="11"/>
        <v>24965.461020532763</v>
      </c>
      <c r="J103" s="571">
        <f t="shared" si="9"/>
        <v>29958.553224639312</v>
      </c>
    </row>
    <row r="104" spans="1:10" s="566" customFormat="1" ht="17.25" customHeight="1">
      <c r="A104" s="556" t="str">
        <f t="shared" si="10"/>
        <v>Г.</v>
      </c>
      <c r="B104" s="557" t="s">
        <v>600</v>
      </c>
      <c r="C104" s="569" t="s">
        <v>1211</v>
      </c>
      <c r="D104" s="573" t="s">
        <v>1212</v>
      </c>
      <c r="E104" s="605" t="s">
        <v>1213</v>
      </c>
      <c r="F104" s="561" t="s">
        <v>592</v>
      </c>
      <c r="G104" s="562">
        <f>+'[1]7_Монтерски'!S32</f>
        <v>13891.819430333544</v>
      </c>
      <c r="H104" s="616">
        <f>+SUM('[1]7_Монтерски'!T32:X35)</f>
        <v>12634.24159019922</v>
      </c>
      <c r="I104" s="564">
        <f t="shared" si="11"/>
        <v>26526.061020532765</v>
      </c>
      <c r="J104" s="571">
        <f t="shared" si="9"/>
        <v>31831.273224639317</v>
      </c>
    </row>
    <row r="105" spans="1:10" s="566" customFormat="1" ht="17.25" customHeight="1">
      <c r="A105" s="556" t="str">
        <f t="shared" si="10"/>
        <v>Г.</v>
      </c>
      <c r="B105" s="557" t="s">
        <v>601</v>
      </c>
      <c r="C105" s="569" t="s">
        <v>1214</v>
      </c>
      <c r="D105" s="573" t="s">
        <v>1215</v>
      </c>
      <c r="E105" s="605" t="s">
        <v>1216</v>
      </c>
      <c r="F105" s="561" t="s">
        <v>592</v>
      </c>
      <c r="G105" s="562">
        <f>+'[1]7_Монтерски'!S37</f>
        <v>18063.619430333543</v>
      </c>
      <c r="H105" s="616">
        <f>+SUM('[1]7_Монтерски'!T37:X40)</f>
        <v>12634.24159019922</v>
      </c>
      <c r="I105" s="564">
        <f t="shared" si="11"/>
        <v>30697.861020532764</v>
      </c>
      <c r="J105" s="571">
        <f t="shared" si="9"/>
        <v>36837.43322463932</v>
      </c>
    </row>
    <row r="106" spans="1:10" s="566" customFormat="1" ht="17.25" customHeight="1">
      <c r="A106" s="556" t="str">
        <f t="shared" si="10"/>
        <v>Г.</v>
      </c>
      <c r="B106" s="557" t="s">
        <v>602</v>
      </c>
      <c r="C106" s="569" t="s">
        <v>1217</v>
      </c>
      <c r="D106" s="573" t="s">
        <v>1218</v>
      </c>
      <c r="E106" s="605" t="s">
        <v>1219</v>
      </c>
      <c r="F106" s="561" t="s">
        <v>592</v>
      </c>
      <c r="G106" s="562">
        <f>+'[1]7_Монтерски'!S42</f>
        <v>22102.819430333544</v>
      </c>
      <c r="H106" s="616">
        <f>+SUM('[1]7_Монтерски'!T42:X45)</f>
        <v>12634.24159019922</v>
      </c>
      <c r="I106" s="564">
        <f t="shared" si="11"/>
        <v>34737.06102053277</v>
      </c>
      <c r="J106" s="571">
        <f t="shared" si="9"/>
        <v>41684.47322463932</v>
      </c>
    </row>
    <row r="107" spans="1:10" s="566" customFormat="1" ht="17.25" customHeight="1">
      <c r="A107" s="556" t="str">
        <f t="shared" si="10"/>
        <v>Г.</v>
      </c>
      <c r="B107" s="557" t="s">
        <v>603</v>
      </c>
      <c r="C107" s="558" t="s">
        <v>1220</v>
      </c>
      <c r="D107" s="573" t="s">
        <v>1221</v>
      </c>
      <c r="E107" s="626" t="s">
        <v>1222</v>
      </c>
      <c r="F107" s="561" t="s">
        <v>592</v>
      </c>
      <c r="G107" s="562">
        <f>+'[1]7_Монтерски'!S47</f>
        <v>32078.419430333546</v>
      </c>
      <c r="H107" s="616">
        <f>+SUM('[1]7_Монтерски'!T47:X50)</f>
        <v>12634.24159019922</v>
      </c>
      <c r="I107" s="564">
        <f t="shared" si="11"/>
        <v>44712.66102053277</v>
      </c>
      <c r="J107" s="571">
        <f t="shared" si="9"/>
        <v>53655.19322463932</v>
      </c>
    </row>
    <row r="108" spans="1:10" s="566" customFormat="1" ht="17.25" customHeight="1">
      <c r="A108" s="556" t="str">
        <f t="shared" si="10"/>
        <v>Г.</v>
      </c>
      <c r="B108" s="557" t="s">
        <v>604</v>
      </c>
      <c r="C108" s="558" t="s">
        <v>1217</v>
      </c>
      <c r="D108" s="573" t="s">
        <v>1223</v>
      </c>
      <c r="E108" s="605" t="s">
        <v>1224</v>
      </c>
      <c r="F108" s="561" t="s">
        <v>592</v>
      </c>
      <c r="G108" s="562">
        <f>+'[1]7_Монтерски'!S52</f>
        <v>37596.61943033355</v>
      </c>
      <c r="H108" s="616">
        <f>+SUM('[1]7_Монтерски'!T52:X55)</f>
        <v>12634.24159019922</v>
      </c>
      <c r="I108" s="564">
        <f t="shared" si="11"/>
        <v>50230.86102053277</v>
      </c>
      <c r="J108" s="571">
        <f t="shared" si="9"/>
        <v>60277.03322463932</v>
      </c>
    </row>
    <row r="109" spans="1:10" s="566" customFormat="1" ht="17.25" customHeight="1">
      <c r="A109" s="556" t="str">
        <f t="shared" si="10"/>
        <v>Г.</v>
      </c>
      <c r="B109" s="557" t="s">
        <v>606</v>
      </c>
      <c r="C109" s="558" t="s">
        <v>1220</v>
      </c>
      <c r="D109" s="573" t="s">
        <v>1225</v>
      </c>
      <c r="E109" s="626" t="s">
        <v>1226</v>
      </c>
      <c r="F109" s="561" t="s">
        <v>592</v>
      </c>
      <c r="G109" s="562">
        <f>+'[1]7_Монтерски'!S57</f>
        <v>43476.919430333546</v>
      </c>
      <c r="H109" s="616">
        <f>+SUM('[1]7_Монтерски'!T57:X60)</f>
        <v>12634.24159019922</v>
      </c>
      <c r="I109" s="564">
        <f t="shared" si="11"/>
        <v>56111.16102053277</v>
      </c>
      <c r="J109" s="571">
        <f t="shared" si="9"/>
        <v>67333.39322463932</v>
      </c>
    </row>
    <row r="110" spans="1:10" s="566" customFormat="1" ht="17.25" customHeight="1">
      <c r="A110" s="556" t="str">
        <f t="shared" si="10"/>
        <v>Г.</v>
      </c>
      <c r="B110" s="557" t="s">
        <v>609</v>
      </c>
      <c r="C110" s="558" t="s">
        <v>1227</v>
      </c>
      <c r="D110" s="573" t="s">
        <v>1228</v>
      </c>
      <c r="E110" s="626" t="s">
        <v>1229</v>
      </c>
      <c r="F110" s="561" t="s">
        <v>592</v>
      </c>
      <c r="G110" s="562">
        <f>+'[1]7_Монтерски'!M67</f>
        <v>142.59000000000003</v>
      </c>
      <c r="H110" s="616">
        <f>+SUM('[1]7_Монтерски'!N67:P69)</f>
        <v>986.8449660268135</v>
      </c>
      <c r="I110" s="564">
        <f t="shared" si="11"/>
        <v>1129.4349660268135</v>
      </c>
      <c r="J110" s="571">
        <f t="shared" si="9"/>
        <v>1355.3219592321761</v>
      </c>
    </row>
    <row r="111" spans="1:10" s="566" customFormat="1" ht="17.25" customHeight="1">
      <c r="A111" s="556" t="str">
        <f t="shared" si="10"/>
        <v>Г.</v>
      </c>
      <c r="B111" s="557" t="s">
        <v>611</v>
      </c>
      <c r="C111" s="558" t="s">
        <v>1230</v>
      </c>
      <c r="D111" s="573" t="s">
        <v>1231</v>
      </c>
      <c r="E111" s="626" t="s">
        <v>1232</v>
      </c>
      <c r="F111" s="561" t="s">
        <v>592</v>
      </c>
      <c r="G111" s="562">
        <f>+'[1]7_Монтерски'!M76</f>
        <v>216.12150000000003</v>
      </c>
      <c r="H111" s="616">
        <f>+SUM('[1]7_Монтерски'!N76:P78)</f>
        <v>994.3417164593377</v>
      </c>
      <c r="I111" s="564">
        <f t="shared" si="11"/>
        <v>1210.4632164593377</v>
      </c>
      <c r="J111" s="571">
        <f t="shared" si="9"/>
        <v>1452.5558597512052</v>
      </c>
    </row>
    <row r="112" spans="1:10" s="566" customFormat="1" ht="17.25" customHeight="1">
      <c r="A112" s="556" t="str">
        <f t="shared" si="10"/>
        <v>Г.</v>
      </c>
      <c r="B112" s="557" t="s">
        <v>621</v>
      </c>
      <c r="C112" s="569" t="s">
        <v>1230</v>
      </c>
      <c r="D112" s="573" t="s">
        <v>1233</v>
      </c>
      <c r="E112" s="626" t="s">
        <v>1234</v>
      </c>
      <c r="F112" s="561" t="s">
        <v>592</v>
      </c>
      <c r="G112" s="562">
        <f>+'[1]7_Монтерски'!M85</f>
        <v>259.875</v>
      </c>
      <c r="H112" s="616">
        <f>+SUM('[1]7_Монтерски'!N85:P87)</f>
        <v>1051.1807151932026</v>
      </c>
      <c r="I112" s="564">
        <f t="shared" si="11"/>
        <v>1311.0557151932026</v>
      </c>
      <c r="J112" s="571">
        <f t="shared" si="9"/>
        <v>1573.2668582318431</v>
      </c>
    </row>
    <row r="113" spans="1:10" s="566" customFormat="1" ht="17.25" customHeight="1">
      <c r="A113" s="556" t="str">
        <f t="shared" si="10"/>
        <v>Г.</v>
      </c>
      <c r="B113" s="557" t="s">
        <v>622</v>
      </c>
      <c r="C113" s="569" t="s">
        <v>1235</v>
      </c>
      <c r="D113" s="573" t="s">
        <v>1236</v>
      </c>
      <c r="E113" s="626" t="s">
        <v>1237</v>
      </c>
      <c r="F113" s="561" t="s">
        <v>592</v>
      </c>
      <c r="G113" s="562">
        <f>+'[1]7_Монтерски'!M94</f>
        <v>311.85</v>
      </c>
      <c r="H113" s="616">
        <f>+SUM('[1]7_Монтерски'!N94:P96)</f>
        <v>1051.1807151932026</v>
      </c>
      <c r="I113" s="564">
        <f t="shared" si="11"/>
        <v>1363.0307151932025</v>
      </c>
      <c r="J113" s="571">
        <f t="shared" si="9"/>
        <v>1635.636858231843</v>
      </c>
    </row>
    <row r="114" spans="1:10" s="566" customFormat="1" ht="17.25" customHeight="1">
      <c r="A114" s="556" t="str">
        <f t="shared" si="10"/>
        <v>Г.</v>
      </c>
      <c r="B114" s="557" t="s">
        <v>623</v>
      </c>
      <c r="C114" s="569" t="s">
        <v>1238</v>
      </c>
      <c r="D114" s="573" t="s">
        <v>1239</v>
      </c>
      <c r="E114" s="626" t="s">
        <v>1240</v>
      </c>
      <c r="F114" s="561" t="s">
        <v>592</v>
      </c>
      <c r="G114" s="562">
        <f>+'[1]7_Монтерски'!O104</f>
        <v>140.05</v>
      </c>
      <c r="H114" s="616">
        <f>+SUM('[1]7_Монтерски'!P104:R107)</f>
        <v>57.71611853447013</v>
      </c>
      <c r="I114" s="564">
        <f t="shared" si="11"/>
        <v>197.76611853447014</v>
      </c>
      <c r="J114" s="571">
        <f t="shared" si="9"/>
        <v>237.31934224136415</v>
      </c>
    </row>
    <row r="115" spans="1:10" s="566" customFormat="1" ht="17.25" customHeight="1">
      <c r="A115" s="556" t="str">
        <f t="shared" si="10"/>
        <v>Г.</v>
      </c>
      <c r="B115" s="557" t="s">
        <v>625</v>
      </c>
      <c r="C115" s="558" t="s">
        <v>1241</v>
      </c>
      <c r="D115" s="573" t="s">
        <v>1242</v>
      </c>
      <c r="E115" s="626" t="s">
        <v>1243</v>
      </c>
      <c r="F115" s="561" t="s">
        <v>592</v>
      </c>
      <c r="G115" s="562">
        <f>+'[1]7_Монтерски'!O113</f>
        <v>215.84</v>
      </c>
      <c r="H115" s="616">
        <f>+SUM('[1]7_Монтерски'!P113:R116)</f>
        <v>144.75543562437508</v>
      </c>
      <c r="I115" s="564">
        <f t="shared" si="11"/>
        <v>360.5954356243751</v>
      </c>
      <c r="J115" s="571">
        <f t="shared" si="9"/>
        <v>432.71452274925014</v>
      </c>
    </row>
    <row r="116" spans="1:10" s="566" customFormat="1" ht="17.25" customHeight="1">
      <c r="A116" s="556" t="str">
        <f t="shared" si="10"/>
        <v>Г.</v>
      </c>
      <c r="B116" s="557" t="s">
        <v>627</v>
      </c>
      <c r="C116" s="558" t="s">
        <v>1238</v>
      </c>
      <c r="D116" s="573" t="s">
        <v>1244</v>
      </c>
      <c r="E116" s="626" t="s">
        <v>688</v>
      </c>
      <c r="F116" s="561" t="s">
        <v>592</v>
      </c>
      <c r="G116" s="562">
        <f>+'[1]7_Монтерски'!O122</f>
        <v>350.284</v>
      </c>
      <c r="H116" s="616">
        <f>+SUM('[1]7_Монтерски'!P122:R125)</f>
        <v>182.40411629651132</v>
      </c>
      <c r="I116" s="564">
        <f t="shared" si="11"/>
        <v>532.6881162965113</v>
      </c>
      <c r="J116" s="571">
        <f t="shared" si="9"/>
        <v>639.2257395558136</v>
      </c>
    </row>
    <row r="117" spans="1:10" s="566" customFormat="1" ht="17.25" customHeight="1">
      <c r="A117" s="556" t="str">
        <f t="shared" si="10"/>
        <v>Г.</v>
      </c>
      <c r="B117" s="557" t="s">
        <v>629</v>
      </c>
      <c r="C117" s="558" t="s">
        <v>1241</v>
      </c>
      <c r="D117" s="573" t="s">
        <v>1245</v>
      </c>
      <c r="E117" s="626" t="s">
        <v>689</v>
      </c>
      <c r="F117" s="561" t="s">
        <v>592</v>
      </c>
      <c r="G117" s="562">
        <f>+'[1]7_Монтерски'!O131</f>
        <v>560</v>
      </c>
      <c r="H117" s="616">
        <f>+SUM('[1]7_Монтерски'!P131:R134)</f>
        <v>144.75543562437508</v>
      </c>
      <c r="I117" s="564">
        <f t="shared" si="11"/>
        <v>704.7554356243751</v>
      </c>
      <c r="J117" s="571">
        <f t="shared" si="9"/>
        <v>845.7065227492501</v>
      </c>
    </row>
    <row r="118" spans="1:10" s="566" customFormat="1" ht="17.25" customHeight="1">
      <c r="A118" s="556" t="str">
        <f t="shared" si="10"/>
        <v>Г.</v>
      </c>
      <c r="B118" s="557" t="s">
        <v>630</v>
      </c>
      <c r="C118" s="558" t="s">
        <v>1246</v>
      </c>
      <c r="D118" s="573" t="s">
        <v>1247</v>
      </c>
      <c r="E118" s="626" t="s">
        <v>690</v>
      </c>
      <c r="F118" s="561" t="s">
        <v>592</v>
      </c>
      <c r="G118" s="562">
        <f>+'[1]7_Монтерски'!O140</f>
        <v>1067.1840000000002</v>
      </c>
      <c r="H118" s="616">
        <f>+SUM('[1]7_Монтерски'!P140:R143)</f>
        <v>215.656975124122</v>
      </c>
      <c r="I118" s="564">
        <f t="shared" si="11"/>
        <v>1282.8409751241222</v>
      </c>
      <c r="J118" s="571">
        <f t="shared" si="9"/>
        <v>1539.4091701489467</v>
      </c>
    </row>
    <row r="119" spans="1:10" s="566" customFormat="1" ht="17.25" customHeight="1">
      <c r="A119" s="556" t="str">
        <f t="shared" si="10"/>
        <v>Г.</v>
      </c>
      <c r="B119" s="557" t="s">
        <v>631</v>
      </c>
      <c r="C119" s="558" t="s">
        <v>1238</v>
      </c>
      <c r="D119" s="573" t="s">
        <v>1248</v>
      </c>
      <c r="E119" s="626" t="s">
        <v>1249</v>
      </c>
      <c r="F119" s="561" t="s">
        <v>592</v>
      </c>
      <c r="G119" s="562">
        <f>+'[1]7_Монтерски'!O149</f>
        <v>2308.6965999999998</v>
      </c>
      <c r="H119" s="616">
        <f>+SUM('[1]7_Монтерски'!P149:R152)</f>
        <v>413.5323397450634</v>
      </c>
      <c r="I119" s="564">
        <f t="shared" si="11"/>
        <v>2722.228939745063</v>
      </c>
      <c r="J119" s="571">
        <f t="shared" si="9"/>
        <v>3266.6747276940755</v>
      </c>
    </row>
    <row r="120" spans="1:10" s="566" customFormat="1" ht="17.25" customHeight="1">
      <c r="A120" s="556" t="str">
        <f t="shared" si="10"/>
        <v>Г.</v>
      </c>
      <c r="B120" s="557" t="s">
        <v>633</v>
      </c>
      <c r="C120" s="569" t="s">
        <v>1241</v>
      </c>
      <c r="D120" s="573" t="s">
        <v>1250</v>
      </c>
      <c r="E120" s="626" t="s">
        <v>1251</v>
      </c>
      <c r="F120" s="561" t="s">
        <v>592</v>
      </c>
      <c r="G120" s="562">
        <f>+'[1]7_Монтерски'!O158</f>
        <v>3731.484</v>
      </c>
      <c r="H120" s="616">
        <f>+SUM('[1]7_Монтерски'!P158:R161)</f>
        <v>502.1855027462608</v>
      </c>
      <c r="I120" s="564">
        <f t="shared" si="11"/>
        <v>4233.669502746261</v>
      </c>
      <c r="J120" s="571">
        <f t="shared" si="9"/>
        <v>5080.403403295513</v>
      </c>
    </row>
    <row r="121" spans="1:10" s="566" customFormat="1" ht="17.25" customHeight="1">
      <c r="A121" s="556" t="str">
        <f t="shared" si="10"/>
        <v>Г.</v>
      </c>
      <c r="B121" s="557" t="s">
        <v>635</v>
      </c>
      <c r="C121" s="569" t="s">
        <v>1246</v>
      </c>
      <c r="D121" s="573" t="s">
        <v>1252</v>
      </c>
      <c r="E121" s="626" t="s">
        <v>1253</v>
      </c>
      <c r="F121" s="561" t="s">
        <v>592</v>
      </c>
      <c r="G121" s="562">
        <f>+'[1]7_Монтерски'!O167</f>
        <v>4682.3679999999995</v>
      </c>
      <c r="H121" s="616">
        <f>+SUM('[1]7_Монтерски'!P167:R170)</f>
        <v>608.3272214610039</v>
      </c>
      <c r="I121" s="564">
        <f t="shared" si="11"/>
        <v>5290.695221461004</v>
      </c>
      <c r="J121" s="571">
        <f t="shared" si="9"/>
        <v>6348.834265753204</v>
      </c>
    </row>
    <row r="122" spans="1:10" s="566" customFormat="1" ht="17.25" customHeight="1">
      <c r="A122" s="556" t="str">
        <f t="shared" si="10"/>
        <v>Г.</v>
      </c>
      <c r="B122" s="557" t="s">
        <v>636</v>
      </c>
      <c r="C122" s="569" t="s">
        <v>1254</v>
      </c>
      <c r="D122" s="573" t="s">
        <v>1255</v>
      </c>
      <c r="E122" s="626" t="s">
        <v>1256</v>
      </c>
      <c r="F122" s="561" t="s">
        <v>1079</v>
      </c>
      <c r="G122" s="630">
        <f>+'[1]7_Монтерски'!Q178*0.08*0.4*0.4*6.5+'[1]7_Монтерски'!J201*(0.4+0.2)*2*0.08*6.5+'[1]7_Монтерски'!G207*0.1</f>
        <v>1635.362877837101</v>
      </c>
      <c r="H122" s="616">
        <f>+SUM('[1]7_Монтерски'!R183:V183)*0.08*0.4*0.4*6.5+SUM(F203:I204)*(0.4+0.2)*2*0.08*6.5+'[1]7_Монтерски'!H207*0.1</f>
        <v>4115.207436285415</v>
      </c>
      <c r="I122" s="564">
        <f t="shared" si="11"/>
        <v>5750.570314122516</v>
      </c>
      <c r="J122" s="571">
        <f t="shared" si="9"/>
        <v>6900.684376947019</v>
      </c>
    </row>
    <row r="123" spans="1:10" s="566" customFormat="1" ht="17.25" customHeight="1">
      <c r="A123" s="556" t="str">
        <f t="shared" si="10"/>
        <v>Г.</v>
      </c>
      <c r="B123" s="557" t="s">
        <v>638</v>
      </c>
      <c r="C123" s="558" t="s">
        <v>1257</v>
      </c>
      <c r="D123" s="573" t="s">
        <v>1258</v>
      </c>
      <c r="E123" s="626" t="s">
        <v>1259</v>
      </c>
      <c r="F123" s="561" t="s">
        <v>1079</v>
      </c>
      <c r="G123" s="562">
        <f>+'[1]7_Монтерски'!M213</f>
        <v>1292.7</v>
      </c>
      <c r="H123" s="616">
        <f>+SUM('[1]7_Монтерски'!N213:P215)</f>
        <v>1887.7635416415687</v>
      </c>
      <c r="I123" s="564">
        <f t="shared" si="11"/>
        <v>3180.4635416415686</v>
      </c>
      <c r="J123" s="571">
        <f t="shared" si="9"/>
        <v>3816.556249969882</v>
      </c>
    </row>
    <row r="124" spans="1:10" s="566" customFormat="1" ht="17.25" customHeight="1">
      <c r="A124" s="556" t="str">
        <f t="shared" si="10"/>
        <v>Г.</v>
      </c>
      <c r="B124" s="557" t="s">
        <v>640</v>
      </c>
      <c r="C124" s="558" t="s">
        <v>1260</v>
      </c>
      <c r="D124" s="573" t="s">
        <v>1261</v>
      </c>
      <c r="E124" s="626" t="s">
        <v>1262</v>
      </c>
      <c r="F124" s="561" t="s">
        <v>592</v>
      </c>
      <c r="G124" s="562">
        <f>+'[1]7_Монтерски'!O222</f>
        <v>2613.145035089001</v>
      </c>
      <c r="H124" s="616">
        <f>+SUM('[1]7_Монтерски'!P222:Q224)</f>
        <v>467.79722698950604</v>
      </c>
      <c r="I124" s="564">
        <f t="shared" si="11"/>
        <v>3080.942262078507</v>
      </c>
      <c r="J124" s="571">
        <f t="shared" si="9"/>
        <v>3697.1307144942084</v>
      </c>
    </row>
    <row r="125" spans="1:10" s="566" customFormat="1" ht="17.25" customHeight="1">
      <c r="A125" s="556" t="str">
        <f t="shared" si="10"/>
        <v>Г.</v>
      </c>
      <c r="B125" s="557" t="s">
        <v>642</v>
      </c>
      <c r="C125" s="558" t="s">
        <v>1263</v>
      </c>
      <c r="D125" s="573" t="s">
        <v>1264</v>
      </c>
      <c r="E125" s="626" t="s">
        <v>1265</v>
      </c>
      <c r="F125" s="561" t="s">
        <v>592</v>
      </c>
      <c r="G125" s="562">
        <f>+'[1]7_Монтерски'!O231</f>
        <v>2450.645035089001</v>
      </c>
      <c r="H125" s="616">
        <f>+SUM('[1]7_Монтерски'!P231:Q233)</f>
        <v>467.79722698950604</v>
      </c>
      <c r="I125" s="564">
        <f t="shared" si="11"/>
        <v>2918.442262078507</v>
      </c>
      <c r="J125" s="571">
        <f t="shared" si="9"/>
        <v>3502.1307144942084</v>
      </c>
    </row>
    <row r="126" spans="1:10" s="566" customFormat="1" ht="17.25" customHeight="1">
      <c r="A126" s="556" t="str">
        <f t="shared" si="10"/>
        <v>Г.</v>
      </c>
      <c r="B126" s="557" t="s">
        <v>644</v>
      </c>
      <c r="C126" s="558" t="s">
        <v>1266</v>
      </c>
      <c r="D126" s="573" t="s">
        <v>1267</v>
      </c>
      <c r="E126" s="626" t="s">
        <v>1268</v>
      </c>
      <c r="F126" s="561" t="s">
        <v>592</v>
      </c>
      <c r="G126" s="562">
        <f>+'[1]7_Монтерски'!O240</f>
        <v>2763.2164960137316</v>
      </c>
      <c r="H126" s="616">
        <f>+SUM('[1]7_Монтерски'!P240:Q242)</f>
        <v>684.3851622127943</v>
      </c>
      <c r="I126" s="564">
        <f t="shared" si="11"/>
        <v>3447.6016582265256</v>
      </c>
      <c r="J126" s="571">
        <f t="shared" si="9"/>
        <v>4137.121989871831</v>
      </c>
    </row>
    <row r="127" spans="1:10" s="566" customFormat="1" ht="17.25" customHeight="1">
      <c r="A127" s="556" t="str">
        <f t="shared" si="10"/>
        <v>Г.</v>
      </c>
      <c r="B127" s="557" t="s">
        <v>646</v>
      </c>
      <c r="C127" s="558" t="s">
        <v>1269</v>
      </c>
      <c r="D127" s="573" t="s">
        <v>1270</v>
      </c>
      <c r="E127" s="626" t="s">
        <v>1271</v>
      </c>
      <c r="F127" s="561" t="s">
        <v>592</v>
      </c>
      <c r="G127" s="562">
        <f>+'[1]7_Монтерски'!O249</f>
        <v>2563.2164960137316</v>
      </c>
      <c r="H127" s="616">
        <f>+SUM('[1]7_Монтерски'!P249:Q251)</f>
        <v>299.8018650243061</v>
      </c>
      <c r="I127" s="564">
        <f t="shared" si="11"/>
        <v>2863.0183610380377</v>
      </c>
      <c r="J127" s="571">
        <f t="shared" si="9"/>
        <v>3435.622033245645</v>
      </c>
    </row>
    <row r="128" spans="1:10" s="566" customFormat="1" ht="17.25" customHeight="1">
      <c r="A128" s="556" t="str">
        <f t="shared" si="10"/>
        <v>Г.</v>
      </c>
      <c r="B128" s="557" t="s">
        <v>648</v>
      </c>
      <c r="C128" s="569" t="s">
        <v>1272</v>
      </c>
      <c r="D128" s="573" t="s">
        <v>1273</v>
      </c>
      <c r="E128" s="626" t="s">
        <v>1274</v>
      </c>
      <c r="F128" s="561" t="s">
        <v>597</v>
      </c>
      <c r="G128" s="562">
        <f>+'[1]7_Монтерски'!O257</f>
        <v>2363.2164960137316</v>
      </c>
      <c r="H128" s="616">
        <f>+SUM('[1]7_Монтерски'!P257:Q259)</f>
        <v>887.8878603174949</v>
      </c>
      <c r="I128" s="564">
        <f t="shared" si="11"/>
        <v>3251.1043563312264</v>
      </c>
      <c r="J128" s="571">
        <f t="shared" si="9"/>
        <v>3901.3252275974714</v>
      </c>
    </row>
    <row r="129" spans="1:10" s="566" customFormat="1" ht="17.25" customHeight="1">
      <c r="A129" s="556" t="str">
        <f t="shared" si="10"/>
        <v>Г.</v>
      </c>
      <c r="B129" s="557" t="s">
        <v>650</v>
      </c>
      <c r="C129" s="569" t="s">
        <v>1275</v>
      </c>
      <c r="D129" s="573" t="s">
        <v>1276</v>
      </c>
      <c r="E129" s="626" t="s">
        <v>1277</v>
      </c>
      <c r="F129" s="561" t="s">
        <v>597</v>
      </c>
      <c r="G129" s="562">
        <f>+'[1]7_Монтерски'!O265</f>
        <v>2219.395035089001</v>
      </c>
      <c r="H129" s="616">
        <f>+SUM('[1]7_Монтерски'!P265:Q267)</f>
        <v>485.2442098142895</v>
      </c>
      <c r="I129" s="564">
        <f t="shared" si="11"/>
        <v>2704.6392449032905</v>
      </c>
      <c r="J129" s="571">
        <f t="shared" si="9"/>
        <v>3245.5670938839485</v>
      </c>
    </row>
    <row r="130" spans="1:10" s="566" customFormat="1" ht="17.25" customHeight="1">
      <c r="A130" s="556" t="str">
        <f t="shared" si="10"/>
        <v>Г.</v>
      </c>
      <c r="B130" s="557" t="s">
        <v>652</v>
      </c>
      <c r="C130" s="569" t="s">
        <v>1278</v>
      </c>
      <c r="D130" s="573" t="s">
        <v>1279</v>
      </c>
      <c r="E130" s="626" t="s">
        <v>691</v>
      </c>
      <c r="F130" s="561" t="s">
        <v>592</v>
      </c>
      <c r="G130" s="562">
        <f>+'[1]7_Монтерски'!O273</f>
        <v>1209.4643550771602</v>
      </c>
      <c r="H130" s="616">
        <f>+SUM('[1]7_Монтерски'!P273:Q274)</f>
        <v>1274.1749644224656</v>
      </c>
      <c r="I130" s="564">
        <f t="shared" si="11"/>
        <v>2483.639319499626</v>
      </c>
      <c r="J130" s="571">
        <f t="shared" si="9"/>
        <v>2980.367183399551</v>
      </c>
    </row>
    <row r="131" spans="1:10" s="566" customFormat="1" ht="17.25" customHeight="1">
      <c r="A131" s="556" t="str">
        <f t="shared" si="10"/>
        <v>Г.</v>
      </c>
      <c r="B131" s="557" t="s">
        <v>654</v>
      </c>
      <c r="C131" s="631"/>
      <c r="D131" s="573" t="s">
        <v>1280</v>
      </c>
      <c r="E131" s="626" t="s">
        <v>1281</v>
      </c>
      <c r="F131" s="632" t="s">
        <v>597</v>
      </c>
      <c r="G131" s="562">
        <f>+'[1]7_Монтерски'!Q286*(0.1*0.1*0.6+0.2*0.2*0.1)+'[1]7_Монтерски'!AK292*((0.1+0.1)*2*0.6+(0.2+0.2)*2*0.1)</f>
        <v>183.36800673684212</v>
      </c>
      <c r="H131" s="616">
        <f>+SUM('[1]7_Монтерски'!R286:V286)*(0.1*0.1*0.6+0.2*0.2*0.1)+SUM('[1]7_Монтерски'!AL292:AO293)*((0.1+0.1)*2*0.6+(0.2+0.2)*2*0.1)+'[1]7_Монтерски'!Z298+'[1]7_Монтерски'!Z299+'[1]7_Монтерски'!Z300</f>
        <v>792.6784651382544</v>
      </c>
      <c r="I131" s="564">
        <f t="shared" si="11"/>
        <v>976.0464718750966</v>
      </c>
      <c r="J131" s="571">
        <f t="shared" si="9"/>
        <v>1171.2557662501158</v>
      </c>
    </row>
    <row r="132" spans="1:10" s="566" customFormat="1" ht="15.75">
      <c r="A132" s="556" t="str">
        <f t="shared" si="10"/>
        <v>Г.</v>
      </c>
      <c r="B132" s="557" t="s">
        <v>656</v>
      </c>
      <c r="C132" s="569" t="str">
        <f>+'[1]7_Монтерски'!B307</f>
        <v>ГН 200-501.3</v>
      </c>
      <c r="D132" s="573" t="s">
        <v>1282</v>
      </c>
      <c r="E132" s="626" t="s">
        <v>692</v>
      </c>
      <c r="F132" s="561" t="s">
        <v>597</v>
      </c>
      <c r="G132" s="562">
        <f>+'[1]7_Монтерски'!Q312*(0.1*0.12*2.5+0.5*0.5*0.8)</f>
        <v>1679</v>
      </c>
      <c r="H132" s="616">
        <f>+SUM('[1]7_Монтерски'!R307:V311)*(0.1*0.12*2.5+0.5*0.5*0.8)+'[1]7_Монтерски'!Z319+'[1]7_Монтерски'!Z320+'[1]7_Монтерски'!Z321</f>
        <v>2702.869564566109</v>
      </c>
      <c r="I132" s="564">
        <f t="shared" si="11"/>
        <v>4381.869564566109</v>
      </c>
      <c r="J132" s="571">
        <f t="shared" si="9"/>
        <v>5258.243477479331</v>
      </c>
    </row>
    <row r="133" spans="1:10" s="566" customFormat="1" ht="15.75">
      <c r="A133" s="556" t="str">
        <f t="shared" si="10"/>
        <v>Г.</v>
      </c>
      <c r="B133" s="557" t="s">
        <v>658</v>
      </c>
      <c r="C133" s="569" t="str">
        <f>+'[1]7_Монтерски'!B307</f>
        <v>ГН 200-501.3</v>
      </c>
      <c r="D133" s="573" t="s">
        <v>1283</v>
      </c>
      <c r="E133" s="626" t="s">
        <v>693</v>
      </c>
      <c r="F133" s="561" t="s">
        <v>597</v>
      </c>
      <c r="G133" s="562">
        <f>+'[1]7_Монтерски'!Q333*(0.1*0.12*3+0.5*0.5*0.8)</f>
        <v>1722.8000000000002</v>
      </c>
      <c r="H133" s="616">
        <f>+SUM('[1]7_Монтерски'!R333:V333)*(0.1*0.12*3+0.5*0.5*0.8)+'[1]7_Монтерски'!Z339+'[1]7_Монтерски'!Z340+'[1]7_Монтерски'!Z341</f>
        <v>2760.7982747204296</v>
      </c>
      <c r="I133" s="564">
        <f t="shared" si="11"/>
        <v>4483.59827472043</v>
      </c>
      <c r="J133" s="571">
        <f t="shared" si="9"/>
        <v>5380.317929664516</v>
      </c>
    </row>
    <row r="134" spans="1:10" s="566" customFormat="1" ht="17.25" customHeight="1">
      <c r="A134" s="556" t="str">
        <f t="shared" si="10"/>
        <v>Г.</v>
      </c>
      <c r="B134" s="557" t="s">
        <v>660</v>
      </c>
      <c r="C134" s="631"/>
      <c r="D134" s="573" t="s">
        <v>1284</v>
      </c>
      <c r="E134" s="626" t="s">
        <v>694</v>
      </c>
      <c r="F134" s="561" t="s">
        <v>597</v>
      </c>
      <c r="G134" s="562">
        <f>+'[1]7_Монтерски'!S408</f>
        <v>66130</v>
      </c>
      <c r="H134" s="616">
        <f>+SUM('[1]7_Монтерски'!T408:W408)</f>
        <v>111092.82552957711</v>
      </c>
      <c r="I134" s="564">
        <f t="shared" si="11"/>
        <v>177222.8255295771</v>
      </c>
      <c r="J134" s="571">
        <f t="shared" si="9"/>
        <v>212667.3906354925</v>
      </c>
    </row>
    <row r="135" spans="1:10" s="566" customFormat="1" ht="17.25" customHeight="1">
      <c r="A135" s="556" t="str">
        <f t="shared" si="10"/>
        <v>Г.</v>
      </c>
      <c r="B135" s="557" t="s">
        <v>662</v>
      </c>
      <c r="C135" s="631"/>
      <c r="D135" s="573" t="s">
        <v>1285</v>
      </c>
      <c r="E135" s="626" t="s">
        <v>695</v>
      </c>
      <c r="F135" s="561" t="s">
        <v>597</v>
      </c>
      <c r="G135" s="562">
        <f>+'[1]7_Монтерски'!S414</f>
        <v>105710</v>
      </c>
      <c r="H135" s="616">
        <f>+SUM('[1]7_Монтерски'!T414:W414)</f>
        <v>143908.42792407787</v>
      </c>
      <c r="I135" s="564">
        <f t="shared" si="11"/>
        <v>249618.42792407787</v>
      </c>
      <c r="J135" s="571">
        <f t="shared" si="9"/>
        <v>299542.1135088934</v>
      </c>
    </row>
    <row r="136" spans="1:10" s="566" customFormat="1" ht="17.25" customHeight="1">
      <c r="A136" s="556" t="str">
        <f t="shared" si="10"/>
        <v>Г.</v>
      </c>
      <c r="B136" s="557" t="s">
        <v>664</v>
      </c>
      <c r="C136" s="631"/>
      <c r="D136" s="573" t="s">
        <v>1286</v>
      </c>
      <c r="E136" s="626" t="s">
        <v>696</v>
      </c>
      <c r="F136" s="561" t="s">
        <v>597</v>
      </c>
      <c r="G136" s="562">
        <f>+'[1]7_Монтерски'!S420</f>
        <v>128550</v>
      </c>
      <c r="H136" s="616">
        <f>+SUM('[1]7_Монтерски'!T420:W420)</f>
        <v>143908.42792407787</v>
      </c>
      <c r="I136" s="564">
        <f t="shared" si="11"/>
        <v>272458.42792407784</v>
      </c>
      <c r="J136" s="571">
        <f t="shared" si="9"/>
        <v>326950.1135088934</v>
      </c>
    </row>
    <row r="137" spans="1:10" s="566" customFormat="1" ht="17.25" customHeight="1">
      <c r="A137" s="556" t="str">
        <f t="shared" si="10"/>
        <v>Г.</v>
      </c>
      <c r="B137" s="557" t="s">
        <v>666</v>
      </c>
      <c r="C137" s="631"/>
      <c r="D137" s="573" t="s">
        <v>1287</v>
      </c>
      <c r="E137" s="626" t="s">
        <v>1288</v>
      </c>
      <c r="F137" s="561" t="s">
        <v>597</v>
      </c>
      <c r="G137" s="562">
        <f>+'[1]7_Монтерски'!S426</f>
        <v>159410</v>
      </c>
      <c r="H137" s="616">
        <f>+SUM('[1]7_Монтерски'!T426:W426)</f>
        <v>143908.42792407787</v>
      </c>
      <c r="I137" s="564">
        <f t="shared" si="11"/>
        <v>303318.42792407784</v>
      </c>
      <c r="J137" s="571">
        <f t="shared" si="9"/>
        <v>363982.1135088934</v>
      </c>
    </row>
    <row r="138" spans="1:10" s="566" customFormat="1" ht="17.25" customHeight="1">
      <c r="A138" s="556" t="str">
        <f t="shared" si="10"/>
        <v>Г.</v>
      </c>
      <c r="B138" s="557" t="s">
        <v>668</v>
      </c>
      <c r="C138" s="569" t="s">
        <v>1289</v>
      </c>
      <c r="D138" s="573" t="s">
        <v>1290</v>
      </c>
      <c r="E138" s="626" t="s">
        <v>697</v>
      </c>
      <c r="F138" s="561" t="s">
        <v>597</v>
      </c>
      <c r="G138" s="620">
        <f>+'[1]7_Монтерски'!O372</f>
        <v>9020.07146092473</v>
      </c>
      <c r="H138" s="621">
        <f>+SUM('[1]7_Монтерски'!P372:R372)</f>
        <v>2946.809029561255</v>
      </c>
      <c r="I138" s="564">
        <f t="shared" si="11"/>
        <v>11966.880490485984</v>
      </c>
      <c r="J138" s="584">
        <f t="shared" si="9"/>
        <v>14360.256588583181</v>
      </c>
    </row>
    <row r="139" spans="1:10" s="566" customFormat="1" ht="17.25" customHeight="1">
      <c r="A139" s="556" t="str">
        <f t="shared" si="10"/>
        <v>Г.</v>
      </c>
      <c r="B139" s="557" t="s">
        <v>670</v>
      </c>
      <c r="C139" s="569" t="s">
        <v>1289</v>
      </c>
      <c r="D139" s="573" t="s">
        <v>1291</v>
      </c>
      <c r="E139" s="627" t="s">
        <v>1292</v>
      </c>
      <c r="F139" s="611" t="s">
        <v>597</v>
      </c>
      <c r="G139" s="620">
        <f>+'[1]7_Монтерски'!O378</f>
        <v>13550.07146092473</v>
      </c>
      <c r="H139" s="621">
        <f>+SUM('[1]7_Монтерски'!P378:R378)</f>
        <v>2946.809029561255</v>
      </c>
      <c r="I139" s="564">
        <f t="shared" si="11"/>
        <v>16496.880490485986</v>
      </c>
      <c r="J139" s="584">
        <f t="shared" si="9"/>
        <v>19796.256588583183</v>
      </c>
    </row>
    <row r="140" spans="1:10" s="566" customFormat="1" ht="17.25" customHeight="1">
      <c r="A140" s="556" t="str">
        <f t="shared" si="10"/>
        <v>Г.</v>
      </c>
      <c r="B140" s="557" t="s">
        <v>702</v>
      </c>
      <c r="C140" s="569" t="s">
        <v>1289</v>
      </c>
      <c r="D140" s="573" t="s">
        <v>1293</v>
      </c>
      <c r="E140" s="626" t="s">
        <v>698</v>
      </c>
      <c r="F140" s="561" t="s">
        <v>597</v>
      </c>
      <c r="G140" s="562">
        <f>+'[1]7_Монтерски'!O384</f>
        <v>14850.07146092473</v>
      </c>
      <c r="H140" s="616">
        <f>+SUM('[1]7_Монтерски'!P384:R384)</f>
        <v>2946.809029561255</v>
      </c>
      <c r="I140" s="564">
        <f t="shared" si="11"/>
        <v>17796.880490485986</v>
      </c>
      <c r="J140" s="571">
        <f t="shared" si="9"/>
        <v>21356.256588583183</v>
      </c>
    </row>
    <row r="141" spans="1:10" s="566" customFormat="1" ht="17.25" customHeight="1">
      <c r="A141" s="556" t="str">
        <f t="shared" si="10"/>
        <v>Г.</v>
      </c>
      <c r="B141" s="557" t="s">
        <v>703</v>
      </c>
      <c r="C141" s="569" t="s">
        <v>1294</v>
      </c>
      <c r="D141" s="573" t="s">
        <v>1295</v>
      </c>
      <c r="E141" s="626" t="s">
        <v>699</v>
      </c>
      <c r="F141" s="561" t="s">
        <v>597</v>
      </c>
      <c r="G141" s="620">
        <f>+'[1]7_Монтерски'!O390</f>
        <v>2760</v>
      </c>
      <c r="H141" s="621">
        <f>+SUM('[1]7_Монтерски'!P390:R390)</f>
        <v>4409.2478430274</v>
      </c>
      <c r="I141" s="564">
        <f t="shared" si="11"/>
        <v>7169.2478430274</v>
      </c>
      <c r="J141" s="584">
        <f t="shared" si="9"/>
        <v>8603.09741163288</v>
      </c>
    </row>
    <row r="142" spans="1:10" s="566" customFormat="1" ht="17.25" customHeight="1">
      <c r="A142" s="556" t="str">
        <f t="shared" si="10"/>
        <v>Г.</v>
      </c>
      <c r="B142" s="557" t="s">
        <v>704</v>
      </c>
      <c r="C142" s="569" t="s">
        <v>1294</v>
      </c>
      <c r="D142" s="573" t="s">
        <v>1296</v>
      </c>
      <c r="E142" s="626" t="s">
        <v>700</v>
      </c>
      <c r="F142" s="561" t="s">
        <v>597</v>
      </c>
      <c r="G142" s="620">
        <f>+'[1]7_Монтерски'!O396</f>
        <v>3600</v>
      </c>
      <c r="H142" s="621">
        <f>+SUM('[1]7_Монтерски'!P396:R396)</f>
        <v>4409.2478430274</v>
      </c>
      <c r="I142" s="564">
        <f t="shared" si="11"/>
        <v>8009.2478430274</v>
      </c>
      <c r="J142" s="584">
        <f t="shared" si="9"/>
        <v>9611.09741163288</v>
      </c>
    </row>
    <row r="143" spans="1:10" s="566" customFormat="1" ht="17.25" customHeight="1">
      <c r="A143" s="556" t="str">
        <f t="shared" si="10"/>
        <v>Г.</v>
      </c>
      <c r="B143" s="557" t="s">
        <v>706</v>
      </c>
      <c r="C143" s="569" t="s">
        <v>1294</v>
      </c>
      <c r="D143" s="573" t="s">
        <v>1297</v>
      </c>
      <c r="E143" s="626" t="s">
        <v>701</v>
      </c>
      <c r="F143" s="561" t="s">
        <v>597</v>
      </c>
      <c r="G143" s="620">
        <f>+'[1]7_Монтерски'!O402</f>
        <v>5865</v>
      </c>
      <c r="H143" s="621">
        <f>+SUM('[1]7_Монтерски'!P402:R402)</f>
        <v>4409.2478430274</v>
      </c>
      <c r="I143" s="564">
        <f t="shared" si="11"/>
        <v>10274.2478430274</v>
      </c>
      <c r="J143" s="584">
        <f t="shared" si="9"/>
        <v>12329.09741163288</v>
      </c>
    </row>
    <row r="144" spans="1:10" s="566" customFormat="1" ht="17.25" customHeight="1">
      <c r="A144" s="556" t="str">
        <f t="shared" si="10"/>
        <v>Г.</v>
      </c>
      <c r="B144" s="557" t="s">
        <v>708</v>
      </c>
      <c r="C144" s="569" t="s">
        <v>1294</v>
      </c>
      <c r="D144" s="573" t="s">
        <v>1298</v>
      </c>
      <c r="E144" s="626" t="s">
        <v>705</v>
      </c>
      <c r="F144" s="561" t="s">
        <v>597</v>
      </c>
      <c r="G144" s="620">
        <f>+'[1]7_Монтерски'!O348</f>
        <v>4050.07146092473</v>
      </c>
      <c r="H144" s="621">
        <f>+SUM('[1]7_Монтерски'!P348:R348)</f>
        <v>2924.891257387621</v>
      </c>
      <c r="I144" s="564">
        <f t="shared" si="11"/>
        <v>6974.962718312351</v>
      </c>
      <c r="J144" s="584">
        <f t="shared" si="9"/>
        <v>8369.955261974821</v>
      </c>
    </row>
    <row r="145" spans="1:10" s="566" customFormat="1" ht="17.25" customHeight="1">
      <c r="A145" s="556" t="str">
        <f t="shared" si="10"/>
        <v>Г.</v>
      </c>
      <c r="B145" s="557" t="s">
        <v>710</v>
      </c>
      <c r="C145" s="569" t="s">
        <v>1294</v>
      </c>
      <c r="D145" s="573" t="s">
        <v>1299</v>
      </c>
      <c r="E145" s="626" t="s">
        <v>707</v>
      </c>
      <c r="F145" s="561" t="s">
        <v>597</v>
      </c>
      <c r="G145" s="620">
        <f>+'[1]7_Монтерски'!O354</f>
        <v>4775.071460924731</v>
      </c>
      <c r="H145" s="621">
        <f>+SUM('[1]7_Монтерски'!P354:R355)</f>
        <v>2924.891257387621</v>
      </c>
      <c r="I145" s="564">
        <f t="shared" si="11"/>
        <v>7699.962718312352</v>
      </c>
      <c r="J145" s="584">
        <f t="shared" si="9"/>
        <v>9239.955261974823</v>
      </c>
    </row>
    <row r="146" spans="1:10" s="566" customFormat="1" ht="17.25" customHeight="1">
      <c r="A146" s="556" t="str">
        <f t="shared" si="10"/>
        <v>Г.</v>
      </c>
      <c r="B146" s="557" t="s">
        <v>712</v>
      </c>
      <c r="C146" s="569" t="str">
        <f>+'[1]7_Монтерски'!B358</f>
        <v>ГН 410-454.1-3.А-Б1.13</v>
      </c>
      <c r="D146" s="573" t="s">
        <v>1300</v>
      </c>
      <c r="E146" s="626" t="s">
        <v>709</v>
      </c>
      <c r="F146" s="561" t="s">
        <v>597</v>
      </c>
      <c r="G146" s="620">
        <f>+'[1]7_Монтерски'!O360</f>
        <v>24914.07146092473</v>
      </c>
      <c r="H146" s="621">
        <f>+SUM('[1]7_Монтерски'!P360:R360)</f>
        <v>19639.112415067033</v>
      </c>
      <c r="I146" s="564">
        <f t="shared" si="11"/>
        <v>44553.18387599176</v>
      </c>
      <c r="J146" s="584">
        <f t="shared" si="9"/>
        <v>53463.82065119011</v>
      </c>
    </row>
    <row r="147" spans="1:10" s="566" customFormat="1" ht="17.25" customHeight="1">
      <c r="A147" s="556" t="str">
        <f t="shared" si="10"/>
        <v>Г.</v>
      </c>
      <c r="B147" s="557" t="s">
        <v>714</v>
      </c>
      <c r="C147" s="569" t="str">
        <f>+'[1]7_Монтерски'!B364</f>
        <v>ГН 410-454.1-3.А-Б1.13-13'</v>
      </c>
      <c r="D147" s="573" t="s">
        <v>1301</v>
      </c>
      <c r="E147" s="626" t="s">
        <v>711</v>
      </c>
      <c r="F147" s="561" t="s">
        <v>597</v>
      </c>
      <c r="G147" s="620">
        <f>+'[1]7_Монтерски'!O366</f>
        <v>35592.07146092473</v>
      </c>
      <c r="H147" s="621">
        <f>+SUM('[1]7_Монтерски'!P366:R366)</f>
        <v>19639.112415067033</v>
      </c>
      <c r="I147" s="564">
        <f t="shared" si="11"/>
        <v>55231.18387599176</v>
      </c>
      <c r="J147" s="584">
        <f t="shared" si="9"/>
        <v>66277.42065119011</v>
      </c>
    </row>
    <row r="148" spans="1:10" s="566" customFormat="1" ht="17.25" customHeight="1">
      <c r="A148" s="556" t="str">
        <f t="shared" si="10"/>
        <v>Г.</v>
      </c>
      <c r="B148" s="557" t="s">
        <v>715</v>
      </c>
      <c r="C148" s="569" t="s">
        <v>1302</v>
      </c>
      <c r="D148" s="573" t="s">
        <v>1303</v>
      </c>
      <c r="E148" s="626" t="s">
        <v>713</v>
      </c>
      <c r="F148" s="561" t="s">
        <v>676</v>
      </c>
      <c r="G148" s="620">
        <f>+'[1]7_Монтерски'!J432</f>
        <v>115.50000000000001</v>
      </c>
      <c r="H148" s="621">
        <f>+SUM('[1]7_Монтерски'!K432:L432)</f>
        <v>22.98639987165219</v>
      </c>
      <c r="I148" s="564">
        <f t="shared" si="11"/>
        <v>138.4863998716522</v>
      </c>
      <c r="J148" s="584">
        <f t="shared" si="9"/>
        <v>166.18367984598262</v>
      </c>
    </row>
    <row r="149" spans="1:10" s="566" customFormat="1" ht="17.25" customHeight="1">
      <c r="A149" s="556" t="str">
        <f t="shared" si="10"/>
        <v>Г.</v>
      </c>
      <c r="B149" s="557" t="s">
        <v>717</v>
      </c>
      <c r="C149" s="569" t="s">
        <v>1304</v>
      </c>
      <c r="D149" s="573" t="s">
        <v>1305</v>
      </c>
      <c r="E149" s="626" t="s">
        <v>716</v>
      </c>
      <c r="F149" s="561" t="s">
        <v>592</v>
      </c>
      <c r="G149" s="620">
        <f>+'[1]7_Монтерски'!Q450</f>
        <v>41.86216666666667</v>
      </c>
      <c r="H149" s="621">
        <f>+SUM('[1]7_Монтерски'!R450:T453)</f>
        <v>504.10058172038754</v>
      </c>
      <c r="I149" s="564">
        <f t="shared" si="11"/>
        <v>545.9627483870543</v>
      </c>
      <c r="J149" s="584">
        <f t="shared" si="9"/>
        <v>655.1552980644651</v>
      </c>
    </row>
    <row r="150" spans="1:10" s="566" customFormat="1" ht="17.25" customHeight="1">
      <c r="A150" s="556" t="str">
        <f t="shared" si="10"/>
        <v>Г.</v>
      </c>
      <c r="B150" s="557" t="s">
        <v>718</v>
      </c>
      <c r="C150" s="569" t="s">
        <v>1306</v>
      </c>
      <c r="D150" s="573" t="s">
        <v>1307</v>
      </c>
      <c r="E150" s="626" t="s">
        <v>1308</v>
      </c>
      <c r="F150" s="633" t="s">
        <v>679</v>
      </c>
      <c r="G150" s="620">
        <f>+'[1]7_Монтерски'!O444</f>
        <v>611.05</v>
      </c>
      <c r="H150" s="621">
        <f>+'[1]7_Монтерски'!P444</f>
        <v>98.51547895656624</v>
      </c>
      <c r="I150" s="564">
        <f t="shared" si="11"/>
        <v>709.5654789565662</v>
      </c>
      <c r="J150" s="584">
        <f t="shared" si="9"/>
        <v>851.4785747478794</v>
      </c>
    </row>
    <row r="151" spans="1:10" s="566" customFormat="1" ht="17.25" customHeight="1">
      <c r="A151" s="556" t="str">
        <f t="shared" si="10"/>
        <v>Г.</v>
      </c>
      <c r="B151" s="557" t="s">
        <v>719</v>
      </c>
      <c r="C151" s="569" t="s">
        <v>1306</v>
      </c>
      <c r="D151" s="573" t="s">
        <v>1309</v>
      </c>
      <c r="E151" s="626" t="s">
        <v>1310</v>
      </c>
      <c r="F151" s="633" t="s">
        <v>679</v>
      </c>
      <c r="G151" s="620">
        <f>+'[1]7_Монтерски'!O459</f>
        <v>663.55</v>
      </c>
      <c r="H151" s="621">
        <f>+'[1]7_Монтерски'!P459</f>
        <v>98.51547895656624</v>
      </c>
      <c r="I151" s="564">
        <f>+G151++H151</f>
        <v>762.0654789565662</v>
      </c>
      <c r="J151" s="584">
        <f t="shared" si="9"/>
        <v>914.4785747478794</v>
      </c>
    </row>
    <row r="152" spans="1:10" s="566" customFormat="1" ht="17.25" customHeight="1">
      <c r="A152" s="556" t="str">
        <f t="shared" si="10"/>
        <v>Г.</v>
      </c>
      <c r="B152" s="557" t="s">
        <v>720</v>
      </c>
      <c r="C152" s="569" t="s">
        <v>1311</v>
      </c>
      <c r="D152" s="573" t="s">
        <v>1312</v>
      </c>
      <c r="E152" s="626" t="s">
        <v>721</v>
      </c>
      <c r="F152" s="611" t="s">
        <v>722</v>
      </c>
      <c r="G152" s="620">
        <f>+'[1]7_Монтерски'!J438</f>
        <v>825.0000000000001</v>
      </c>
      <c r="H152" s="621">
        <f>+SUM('[1]7_Монтерски'!K438:L438)</f>
        <v>32.67629056707293</v>
      </c>
      <c r="I152" s="564">
        <f t="shared" si="11"/>
        <v>857.676290567073</v>
      </c>
      <c r="J152" s="584">
        <f t="shared" si="9"/>
        <v>1029.2115486804876</v>
      </c>
    </row>
    <row r="153" spans="1:10" s="566" customFormat="1" ht="17.25" customHeight="1">
      <c r="A153" s="624"/>
      <c r="B153" s="619"/>
      <c r="C153" s="634"/>
      <c r="D153" s="578"/>
      <c r="E153" s="627"/>
      <c r="F153" s="580"/>
      <c r="G153" s="581"/>
      <c r="H153" s="582"/>
      <c r="I153" s="583"/>
      <c r="J153" s="584"/>
    </row>
    <row r="154" spans="1:12" s="545" customFormat="1" ht="19.5" customHeight="1" thickBot="1">
      <c r="A154" s="842" t="s">
        <v>1313</v>
      </c>
      <c r="B154" s="843"/>
      <c r="C154" s="537"/>
      <c r="D154" s="538"/>
      <c r="E154" s="539" t="s">
        <v>723</v>
      </c>
      <c r="F154" s="540"/>
      <c r="G154" s="585"/>
      <c r="H154" s="586"/>
      <c r="I154" s="587"/>
      <c r="J154" s="588"/>
      <c r="L154" s="566"/>
    </row>
    <row r="155" spans="1:10" s="545" customFormat="1" ht="19.5" customHeight="1">
      <c r="A155" s="546"/>
      <c r="B155" s="589"/>
      <c r="C155" s="615"/>
      <c r="D155" s="591"/>
      <c r="E155" s="592"/>
      <c r="F155" s="593"/>
      <c r="G155" s="594"/>
      <c r="H155" s="595"/>
      <c r="I155" s="596"/>
      <c r="J155" s="597"/>
    </row>
    <row r="156" spans="1:12" s="566" customFormat="1" ht="31.5">
      <c r="A156" s="556" t="str">
        <f>+A154</f>
        <v>Х.</v>
      </c>
      <c r="B156" s="557" t="s">
        <v>588</v>
      </c>
      <c r="C156" s="569" t="s">
        <v>1314</v>
      </c>
      <c r="D156" s="578" t="s">
        <v>1315</v>
      </c>
      <c r="E156" s="626" t="s">
        <v>1316</v>
      </c>
      <c r="F156" s="633" t="s">
        <v>676</v>
      </c>
      <c r="G156" s="620">
        <f>+'[1]8_Браварски'!O9</f>
        <v>120</v>
      </c>
      <c r="H156" s="621">
        <f>+'[1]8_Браварски'!P9</f>
        <v>481.07</v>
      </c>
      <c r="I156" s="564">
        <f>+G156++H156</f>
        <v>601.0699999999999</v>
      </c>
      <c r="J156" s="584">
        <f>I156*1.2</f>
        <v>721.2839999999999</v>
      </c>
      <c r="L156" s="545"/>
    </row>
    <row r="157" spans="1:10" s="566" customFormat="1" ht="17.25" customHeight="1">
      <c r="A157" s="556" t="str">
        <f>+A154</f>
        <v>Х.</v>
      </c>
      <c r="B157" s="557" t="s">
        <v>590</v>
      </c>
      <c r="C157" s="569" t="s">
        <v>1317</v>
      </c>
      <c r="D157" s="578" t="s">
        <v>1318</v>
      </c>
      <c r="E157" s="626" t="s">
        <v>1319</v>
      </c>
      <c r="F157" s="611" t="s">
        <v>676</v>
      </c>
      <c r="G157" s="620">
        <f>+'[1]8_Браварски'!O18</f>
        <v>120</v>
      </c>
      <c r="H157" s="621">
        <f>+'[1]8_Браварски'!P18</f>
        <v>388.4679769580688</v>
      </c>
      <c r="I157" s="564">
        <f>+G157++H157</f>
        <v>508.4679769580688</v>
      </c>
      <c r="J157" s="584">
        <f>I157*1.2</f>
        <v>610.1615723496825</v>
      </c>
    </row>
    <row r="158" spans="1:10" s="566" customFormat="1" ht="17.25" customHeight="1">
      <c r="A158" s="546"/>
      <c r="B158" s="589"/>
      <c r="C158" s="615"/>
      <c r="D158" s="591"/>
      <c r="E158" s="592"/>
      <c r="F158" s="593"/>
      <c r="G158" s="594"/>
      <c r="H158" s="595"/>
      <c r="I158" s="596"/>
      <c r="J158" s="597"/>
    </row>
    <row r="159" spans="1:12" s="545" customFormat="1" ht="19.5" customHeight="1" thickBot="1">
      <c r="A159" s="842" t="s">
        <v>1320</v>
      </c>
      <c r="B159" s="843"/>
      <c r="C159" s="537"/>
      <c r="D159" s="538"/>
      <c r="E159" s="539" t="s">
        <v>724</v>
      </c>
      <c r="F159" s="540"/>
      <c r="G159" s="585"/>
      <c r="H159" s="586"/>
      <c r="I159" s="587"/>
      <c r="J159" s="588"/>
      <c r="L159" s="566"/>
    </row>
    <row r="160" spans="1:10" s="545" customFormat="1" ht="17.25" customHeight="1">
      <c r="A160" s="546"/>
      <c r="B160" s="589"/>
      <c r="C160" s="590"/>
      <c r="D160" s="591"/>
      <c r="E160" s="592"/>
      <c r="F160" s="593"/>
      <c r="G160" s="594"/>
      <c r="H160" s="595"/>
      <c r="I160" s="596"/>
      <c r="J160" s="597"/>
    </row>
    <row r="161" spans="1:12" s="566" customFormat="1" ht="17.25" customHeight="1">
      <c r="A161" s="556" t="str">
        <f aca="true" t="shared" si="12" ref="A161:A182">+$A$159</f>
        <v>И.</v>
      </c>
      <c r="B161" s="557" t="s">
        <v>588</v>
      </c>
      <c r="C161" s="558" t="s">
        <v>1321</v>
      </c>
      <c r="D161" s="559" t="s">
        <v>1322</v>
      </c>
      <c r="E161" s="598" t="s">
        <v>725</v>
      </c>
      <c r="F161" s="561" t="s">
        <v>1079</v>
      </c>
      <c r="G161" s="599"/>
      <c r="H161" s="563">
        <f>+'[1]9_Биолошки'!H5</f>
        <v>14.993500865048276</v>
      </c>
      <c r="I161" s="564">
        <f aca="true" t="shared" si="13" ref="I161:I180">+G161++H161</f>
        <v>14.993500865048276</v>
      </c>
      <c r="J161" s="565">
        <f aca="true" t="shared" si="14" ref="J161:J182">+$I161*$J$5</f>
        <v>17.99220103805793</v>
      </c>
      <c r="L161" s="545"/>
    </row>
    <row r="162" spans="1:10" s="566" customFormat="1" ht="17.25" customHeight="1">
      <c r="A162" s="556" t="str">
        <f t="shared" si="12"/>
        <v>И.</v>
      </c>
      <c r="B162" s="557" t="s">
        <v>590</v>
      </c>
      <c r="C162" s="558" t="s">
        <v>1323</v>
      </c>
      <c r="D162" s="559" t="s">
        <v>1324</v>
      </c>
      <c r="E162" s="598" t="s">
        <v>726</v>
      </c>
      <c r="F162" s="561" t="s">
        <v>1079</v>
      </c>
      <c r="G162" s="599"/>
      <c r="H162" s="563">
        <f>+'[1]9_Биолошки'!H11</f>
        <v>37.48375216262069</v>
      </c>
      <c r="I162" s="564">
        <f t="shared" si="13"/>
        <v>37.48375216262069</v>
      </c>
      <c r="J162" s="565">
        <f t="shared" si="14"/>
        <v>44.98050259514483</v>
      </c>
    </row>
    <row r="163" spans="1:10" s="566" customFormat="1" ht="17.25" customHeight="1">
      <c r="A163" s="556" t="str">
        <f t="shared" si="12"/>
        <v>И.</v>
      </c>
      <c r="B163" s="557" t="s">
        <v>593</v>
      </c>
      <c r="C163" s="558" t="s">
        <v>1325</v>
      </c>
      <c r="D163" s="559" t="s">
        <v>1326</v>
      </c>
      <c r="E163" s="598" t="s">
        <v>727</v>
      </c>
      <c r="F163" s="561" t="s">
        <v>1079</v>
      </c>
      <c r="G163" s="599"/>
      <c r="H163" s="563">
        <f>+'[1]9_Биолошки'!H17</f>
        <v>44.98050259514482</v>
      </c>
      <c r="I163" s="564">
        <f t="shared" si="13"/>
        <v>44.98050259514482</v>
      </c>
      <c r="J163" s="565">
        <f t="shared" si="14"/>
        <v>53.976603114173784</v>
      </c>
    </row>
    <row r="164" spans="1:10" s="606" customFormat="1" ht="17.25" customHeight="1">
      <c r="A164" s="556" t="str">
        <f t="shared" si="12"/>
        <v>И.</v>
      </c>
      <c r="B164" s="557" t="s">
        <v>595</v>
      </c>
      <c r="C164" s="569" t="s">
        <v>1327</v>
      </c>
      <c r="D164" s="559" t="s">
        <v>1328</v>
      </c>
      <c r="E164" s="598" t="s">
        <v>728</v>
      </c>
      <c r="F164" s="561" t="s">
        <v>1079</v>
      </c>
      <c r="G164" s="599"/>
      <c r="H164" s="563">
        <f>+'[1]12_Механизација'!$E$58</f>
        <v>2.5657939507921492</v>
      </c>
      <c r="I164" s="564">
        <f t="shared" si="13"/>
        <v>2.5657939507921492</v>
      </c>
      <c r="J164" s="565">
        <f t="shared" si="14"/>
        <v>3.078952740950579</v>
      </c>
    </row>
    <row r="165" spans="1:10" s="606" customFormat="1" ht="17.25" customHeight="1">
      <c r="A165" s="556" t="str">
        <f t="shared" si="12"/>
        <v>И.</v>
      </c>
      <c r="B165" s="557" t="s">
        <v>598</v>
      </c>
      <c r="C165" s="569" t="s">
        <v>1327</v>
      </c>
      <c r="D165" s="559" t="s">
        <v>1329</v>
      </c>
      <c r="E165" s="635" t="s">
        <v>1330</v>
      </c>
      <c r="F165" s="561" t="s">
        <v>1079</v>
      </c>
      <c r="G165" s="599"/>
      <c r="H165" s="563">
        <f>+'[1]12_Механизација'!$D$58</f>
        <v>25.249547261909928</v>
      </c>
      <c r="I165" s="564">
        <f>+G165++H165</f>
        <v>25.249547261909928</v>
      </c>
      <c r="J165" s="565">
        <f t="shared" si="14"/>
        <v>30.299456714291914</v>
      </c>
    </row>
    <row r="166" spans="1:10" s="606" customFormat="1" ht="17.25" customHeight="1">
      <c r="A166" s="556" t="str">
        <f t="shared" si="12"/>
        <v>И.</v>
      </c>
      <c r="B166" s="557" t="s">
        <v>600</v>
      </c>
      <c r="C166" s="569" t="s">
        <v>1327</v>
      </c>
      <c r="D166" s="559" t="s">
        <v>1331</v>
      </c>
      <c r="E166" s="635" t="s">
        <v>1332</v>
      </c>
      <c r="F166" s="561" t="s">
        <v>1079</v>
      </c>
      <c r="G166" s="599"/>
      <c r="H166" s="563">
        <f>+'[1]12_Механизација'!$G$58</f>
        <v>32.9333386129175</v>
      </c>
      <c r="I166" s="564">
        <f>+G166++H166</f>
        <v>32.9333386129175</v>
      </c>
      <c r="J166" s="565">
        <f t="shared" si="14"/>
        <v>39.520006335501</v>
      </c>
    </row>
    <row r="167" spans="1:10" s="606" customFormat="1" ht="17.25" customHeight="1">
      <c r="A167" s="556" t="str">
        <f t="shared" si="12"/>
        <v>И.</v>
      </c>
      <c r="B167" s="557" t="s">
        <v>601</v>
      </c>
      <c r="C167" s="569" t="s">
        <v>1327</v>
      </c>
      <c r="D167" s="559" t="s">
        <v>1333</v>
      </c>
      <c r="E167" s="635" t="s">
        <v>1334</v>
      </c>
      <c r="F167" s="561" t="s">
        <v>1079</v>
      </c>
      <c r="G167" s="599"/>
      <c r="H167" s="563">
        <f>+'[1]12_Механизација'!$H$58</f>
        <v>453.3258325240326</v>
      </c>
      <c r="I167" s="564">
        <f>+G167++H167</f>
        <v>453.3258325240326</v>
      </c>
      <c r="J167" s="565">
        <f t="shared" si="14"/>
        <v>543.990999028839</v>
      </c>
    </row>
    <row r="168" spans="1:12" s="566" customFormat="1" ht="17.25" customHeight="1">
      <c r="A168" s="556" t="str">
        <f t="shared" si="12"/>
        <v>И.</v>
      </c>
      <c r="B168" s="557" t="s">
        <v>602</v>
      </c>
      <c r="C168" s="636" t="s">
        <v>1335</v>
      </c>
      <c r="D168" s="559" t="s">
        <v>1336</v>
      </c>
      <c r="E168" s="602" t="s">
        <v>1337</v>
      </c>
      <c r="F168" s="603" t="s">
        <v>1079</v>
      </c>
      <c r="G168" s="637">
        <f>0.0333333333333333*500</f>
        <v>16.666666666666668</v>
      </c>
      <c r="H168" s="638">
        <f>+'[1]9_Биолошки'!H29</f>
        <v>7.496750432524138</v>
      </c>
      <c r="I168" s="564">
        <f t="shared" si="13"/>
        <v>24.163417099190806</v>
      </c>
      <c r="J168" s="639">
        <f t="shared" si="14"/>
        <v>28.996100519028964</v>
      </c>
      <c r="L168" s="606"/>
    </row>
    <row r="169" spans="1:10" s="566" customFormat="1" ht="17.25" customHeight="1">
      <c r="A169" s="556" t="str">
        <f t="shared" si="12"/>
        <v>И.</v>
      </c>
      <c r="B169" s="557" t="s">
        <v>603</v>
      </c>
      <c r="C169" s="558" t="s">
        <v>1338</v>
      </c>
      <c r="D169" s="559" t="s">
        <v>1339</v>
      </c>
      <c r="E169" s="598" t="s">
        <v>1340</v>
      </c>
      <c r="F169" s="561" t="s">
        <v>1079</v>
      </c>
      <c r="G169" s="637">
        <f>0.0333333333333333*500</f>
        <v>16.666666666666668</v>
      </c>
      <c r="H169" s="616">
        <f>+'[1]9_Биолошки'!H35</f>
        <v>9.370938040655172</v>
      </c>
      <c r="I169" s="564">
        <f t="shared" si="13"/>
        <v>26.03760470732184</v>
      </c>
      <c r="J169" s="565">
        <f t="shared" si="14"/>
        <v>31.245125648786207</v>
      </c>
    </row>
    <row r="170" spans="1:12" s="545" customFormat="1" ht="17.25" customHeight="1">
      <c r="A170" s="556" t="str">
        <f t="shared" si="12"/>
        <v>И.</v>
      </c>
      <c r="B170" s="557" t="s">
        <v>604</v>
      </c>
      <c r="C170" s="558" t="s">
        <v>1341</v>
      </c>
      <c r="D170" s="559" t="s">
        <v>1342</v>
      </c>
      <c r="E170" s="598" t="s">
        <v>729</v>
      </c>
      <c r="F170" s="567" t="s">
        <v>597</v>
      </c>
      <c r="G170" s="599"/>
      <c r="H170" s="563">
        <f>+'[1]9_Биолошки'!H41</f>
        <v>262.3862651383448</v>
      </c>
      <c r="I170" s="564">
        <f t="shared" si="13"/>
        <v>262.3862651383448</v>
      </c>
      <c r="J170" s="565">
        <f t="shared" si="14"/>
        <v>314.86351816601376</v>
      </c>
      <c r="L170" s="566"/>
    </row>
    <row r="171" spans="1:12" s="566" customFormat="1" ht="17.25" customHeight="1">
      <c r="A171" s="556" t="str">
        <f t="shared" si="12"/>
        <v>И.</v>
      </c>
      <c r="B171" s="557" t="s">
        <v>606</v>
      </c>
      <c r="C171" s="558" t="s">
        <v>1343</v>
      </c>
      <c r="D171" s="559" t="s">
        <v>1344</v>
      </c>
      <c r="E171" s="598" t="s">
        <v>730</v>
      </c>
      <c r="F171" s="567" t="s">
        <v>597</v>
      </c>
      <c r="G171" s="599"/>
      <c r="H171" s="563">
        <f>+'[1]9_Биолошки'!H47</f>
        <v>503.78162906562204</v>
      </c>
      <c r="I171" s="564">
        <f t="shared" si="13"/>
        <v>503.78162906562204</v>
      </c>
      <c r="J171" s="565">
        <f t="shared" si="14"/>
        <v>604.5379548787464</v>
      </c>
      <c r="L171" s="545"/>
    </row>
    <row r="172" spans="1:10" s="566" customFormat="1" ht="17.25" customHeight="1">
      <c r="A172" s="556" t="str">
        <f t="shared" si="12"/>
        <v>И.</v>
      </c>
      <c r="B172" s="557" t="s">
        <v>609</v>
      </c>
      <c r="C172" s="558" t="s">
        <v>1345</v>
      </c>
      <c r="D172" s="559" t="s">
        <v>1346</v>
      </c>
      <c r="E172" s="598" t="s">
        <v>731</v>
      </c>
      <c r="F172" s="567" t="s">
        <v>597</v>
      </c>
      <c r="G172" s="599"/>
      <c r="H172" s="563">
        <f>+'[1]9_Биолошки'!H53</f>
        <v>1180.7381931225516</v>
      </c>
      <c r="I172" s="564">
        <f t="shared" si="13"/>
        <v>1180.7381931225516</v>
      </c>
      <c r="J172" s="565">
        <f t="shared" si="14"/>
        <v>1416.885831747062</v>
      </c>
    </row>
    <row r="173" spans="1:10" s="566" customFormat="1" ht="17.25" customHeight="1">
      <c r="A173" s="556" t="str">
        <f t="shared" si="12"/>
        <v>И.</v>
      </c>
      <c r="B173" s="557" t="s">
        <v>611</v>
      </c>
      <c r="C173" s="558" t="s">
        <v>1347</v>
      </c>
      <c r="D173" s="559" t="s">
        <v>1348</v>
      </c>
      <c r="E173" s="598" t="s">
        <v>732</v>
      </c>
      <c r="F173" s="567" t="s">
        <v>597</v>
      </c>
      <c r="G173" s="599"/>
      <c r="H173" s="563">
        <f>+'[1]9_Биолошки'!H59</f>
        <v>2177.806000648262</v>
      </c>
      <c r="I173" s="564">
        <f t="shared" si="13"/>
        <v>2177.806000648262</v>
      </c>
      <c r="J173" s="565">
        <f t="shared" si="14"/>
        <v>2613.367200777914</v>
      </c>
    </row>
    <row r="174" spans="1:10" s="566" customFormat="1" ht="17.25" customHeight="1">
      <c r="A174" s="556" t="str">
        <f t="shared" si="12"/>
        <v>И.</v>
      </c>
      <c r="B174" s="557" t="s">
        <v>621</v>
      </c>
      <c r="C174" s="558" t="s">
        <v>1349</v>
      </c>
      <c r="D174" s="559" t="s">
        <v>1350</v>
      </c>
      <c r="E174" s="598" t="s">
        <v>733</v>
      </c>
      <c r="F174" s="567" t="s">
        <v>597</v>
      </c>
      <c r="G174" s="599"/>
      <c r="H174" s="563">
        <f>+'[1]9_Биолошки'!H65</f>
        <v>1049.5450605533792</v>
      </c>
      <c r="I174" s="564">
        <f t="shared" si="13"/>
        <v>1049.5450605533792</v>
      </c>
      <c r="J174" s="565">
        <f t="shared" si="14"/>
        <v>1259.454072664055</v>
      </c>
    </row>
    <row r="175" spans="1:12" s="545" customFormat="1" ht="17.25" customHeight="1">
      <c r="A175" s="556" t="str">
        <f t="shared" si="12"/>
        <v>И.</v>
      </c>
      <c r="B175" s="557" t="s">
        <v>622</v>
      </c>
      <c r="C175" s="558" t="s">
        <v>1351</v>
      </c>
      <c r="D175" s="559" t="s">
        <v>1352</v>
      </c>
      <c r="E175" s="598" t="s">
        <v>734</v>
      </c>
      <c r="F175" s="567" t="s">
        <v>597</v>
      </c>
      <c r="G175" s="599"/>
      <c r="H175" s="563">
        <f>+'[1]9_Биолошки'!H71</f>
        <v>1649.2850951553103</v>
      </c>
      <c r="I175" s="564">
        <f t="shared" si="13"/>
        <v>1649.2850951553103</v>
      </c>
      <c r="J175" s="565">
        <f t="shared" si="14"/>
        <v>1979.1421141863723</v>
      </c>
      <c r="L175" s="566"/>
    </row>
    <row r="176" spans="1:12" s="566" customFormat="1" ht="17.25" customHeight="1">
      <c r="A176" s="556" t="str">
        <f t="shared" si="12"/>
        <v>И.</v>
      </c>
      <c r="B176" s="557" t="s">
        <v>623</v>
      </c>
      <c r="C176" s="558" t="s">
        <v>1353</v>
      </c>
      <c r="D176" s="559" t="s">
        <v>1354</v>
      </c>
      <c r="E176" s="598" t="s">
        <v>735</v>
      </c>
      <c r="F176" s="567" t="s">
        <v>597</v>
      </c>
      <c r="G176" s="599"/>
      <c r="H176" s="563">
        <f>+'[1]9_Биолошки'!H77</f>
        <v>4498.050259514483</v>
      </c>
      <c r="I176" s="564">
        <f t="shared" si="13"/>
        <v>4498.050259514483</v>
      </c>
      <c r="J176" s="565">
        <f t="shared" si="14"/>
        <v>5397.660311417379</v>
      </c>
      <c r="L176" s="545"/>
    </row>
    <row r="177" spans="1:10" s="566" customFormat="1" ht="17.25" customHeight="1">
      <c r="A177" s="556" t="str">
        <f t="shared" si="12"/>
        <v>И.</v>
      </c>
      <c r="B177" s="557" t="s">
        <v>625</v>
      </c>
      <c r="C177" s="558" t="s">
        <v>1355</v>
      </c>
      <c r="D177" s="559" t="s">
        <v>1356</v>
      </c>
      <c r="E177" s="598" t="s">
        <v>736</v>
      </c>
      <c r="F177" s="567" t="s">
        <v>597</v>
      </c>
      <c r="G177" s="599"/>
      <c r="H177" s="563">
        <f>+'[1]9_Биолошки'!H83</f>
        <v>11245.125648786207</v>
      </c>
      <c r="I177" s="564">
        <f t="shared" si="13"/>
        <v>11245.125648786207</v>
      </c>
      <c r="J177" s="565">
        <f t="shared" si="14"/>
        <v>13494.150778543448</v>
      </c>
    </row>
    <row r="178" spans="1:10" s="566" customFormat="1" ht="17.25" customHeight="1">
      <c r="A178" s="556" t="str">
        <f t="shared" si="12"/>
        <v>И.</v>
      </c>
      <c r="B178" s="557" t="s">
        <v>627</v>
      </c>
      <c r="C178" s="558" t="s">
        <v>1357</v>
      </c>
      <c r="D178" s="559" t="s">
        <v>1358</v>
      </c>
      <c r="E178" s="598" t="s">
        <v>737</v>
      </c>
      <c r="F178" s="561" t="s">
        <v>1079</v>
      </c>
      <c r="G178" s="599"/>
      <c r="H178" s="563">
        <f>+'[1]9_Биолошки'!H89</f>
        <v>1049.5450605533792</v>
      </c>
      <c r="I178" s="564">
        <f t="shared" si="13"/>
        <v>1049.5450605533792</v>
      </c>
      <c r="J178" s="565">
        <f t="shared" si="14"/>
        <v>1259.454072664055</v>
      </c>
    </row>
    <row r="179" spans="1:10" s="566" customFormat="1" ht="17.25" customHeight="1">
      <c r="A179" s="556" t="str">
        <f t="shared" si="12"/>
        <v>И.</v>
      </c>
      <c r="B179" s="557" t="s">
        <v>629</v>
      </c>
      <c r="C179" s="558" t="s">
        <v>1359</v>
      </c>
      <c r="D179" s="559" t="s">
        <v>1360</v>
      </c>
      <c r="E179" s="640" t="s">
        <v>738</v>
      </c>
      <c r="F179" s="561" t="s">
        <v>1079</v>
      </c>
      <c r="G179" s="599"/>
      <c r="H179" s="563">
        <f>+'[1]9_Биолошки'!H95</f>
        <v>1649.2850951553103</v>
      </c>
      <c r="I179" s="564">
        <f t="shared" si="13"/>
        <v>1649.2850951553103</v>
      </c>
      <c r="J179" s="565">
        <f t="shared" si="14"/>
        <v>1979.1421141863723</v>
      </c>
    </row>
    <row r="180" spans="1:12" s="421" customFormat="1" ht="17.25" customHeight="1">
      <c r="A180" s="556" t="str">
        <f t="shared" si="12"/>
        <v>И.</v>
      </c>
      <c r="B180" s="557" t="s">
        <v>630</v>
      </c>
      <c r="C180" s="558" t="s">
        <v>1361</v>
      </c>
      <c r="D180" s="559" t="s">
        <v>1362</v>
      </c>
      <c r="E180" s="574" t="s">
        <v>1363</v>
      </c>
      <c r="F180" s="561" t="s">
        <v>1079</v>
      </c>
      <c r="G180" s="599"/>
      <c r="H180" s="563">
        <f>0.03*'[1]Анализа_радник'!$J$5</f>
        <v>27.39721521704276</v>
      </c>
      <c r="I180" s="564">
        <f t="shared" si="13"/>
        <v>27.39721521704276</v>
      </c>
      <c r="J180" s="571">
        <f t="shared" si="14"/>
        <v>32.87665826045131</v>
      </c>
      <c r="L180" s="566"/>
    </row>
    <row r="181" spans="1:12" s="421" customFormat="1" ht="17.25" customHeight="1">
      <c r="A181" s="556" t="str">
        <f t="shared" si="12"/>
        <v>И.</v>
      </c>
      <c r="B181" s="557" t="s">
        <v>631</v>
      </c>
      <c r="C181" s="641"/>
      <c r="D181" s="642"/>
      <c r="E181" s="643" t="s">
        <v>1364</v>
      </c>
      <c r="F181" s="561" t="s">
        <v>1079</v>
      </c>
      <c r="G181" s="599">
        <f>2200*0.0006</f>
        <v>1.3199999999999998</v>
      </c>
      <c r="H181" s="563">
        <f>0.00053*'[1]12_Механизација'!$E$55+0.00033*'[1]Анализа_радник'!$J$5</f>
        <v>2.817130336139173</v>
      </c>
      <c r="I181" s="564">
        <f>+G181++H181</f>
        <v>4.1371303361391725</v>
      </c>
      <c r="J181" s="571">
        <f t="shared" si="14"/>
        <v>4.964556403367006</v>
      </c>
      <c r="L181" s="566"/>
    </row>
    <row r="182" spans="1:12" s="421" customFormat="1" ht="17.25" customHeight="1">
      <c r="A182" s="556" t="str">
        <f t="shared" si="12"/>
        <v>И.</v>
      </c>
      <c r="B182" s="557" t="s">
        <v>633</v>
      </c>
      <c r="C182" s="641"/>
      <c r="D182" s="642"/>
      <c r="E182" s="643" t="s">
        <v>1365</v>
      </c>
      <c r="F182" s="561" t="s">
        <v>1079</v>
      </c>
      <c r="G182" s="599">
        <f>2200*0.0009</f>
        <v>1.98</v>
      </c>
      <c r="H182" s="563">
        <f>0.0002*'[1]12_Механизација'!$E$55+0.0156*'[1]Анализа_радник'!$J$5</f>
        <v>15.19589567465533</v>
      </c>
      <c r="I182" s="564">
        <f>+G182++H182</f>
        <v>17.17589567465533</v>
      </c>
      <c r="J182" s="571">
        <f t="shared" si="14"/>
        <v>20.611074809586395</v>
      </c>
      <c r="L182" s="566"/>
    </row>
    <row r="183" spans="1:12" s="421" customFormat="1" ht="17.25" customHeight="1">
      <c r="A183" s="644"/>
      <c r="B183" s="645"/>
      <c r="C183" s="641"/>
      <c r="D183" s="642"/>
      <c r="E183" s="643"/>
      <c r="F183" s="646"/>
      <c r="G183" s="647"/>
      <c r="H183" s="648"/>
      <c r="I183" s="649"/>
      <c r="J183" s="650"/>
      <c r="L183" s="566"/>
    </row>
    <row r="184" spans="1:12" s="545" customFormat="1" ht="20.25" customHeight="1" thickBot="1">
      <c r="A184" s="842" t="s">
        <v>1366</v>
      </c>
      <c r="B184" s="843"/>
      <c r="C184" s="612"/>
      <c r="D184" s="538"/>
      <c r="E184" s="651" t="s">
        <v>739</v>
      </c>
      <c r="F184" s="652"/>
      <c r="G184" s="653"/>
      <c r="H184" s="654"/>
      <c r="I184" s="587"/>
      <c r="J184" s="588"/>
      <c r="L184" s="421"/>
    </row>
    <row r="185" spans="1:10" s="545" customFormat="1" ht="16.5" customHeight="1">
      <c r="A185" s="546"/>
      <c r="B185" s="655"/>
      <c r="C185" s="615"/>
      <c r="D185" s="591"/>
      <c r="E185" s="656"/>
      <c r="F185" s="603"/>
      <c r="G185" s="657"/>
      <c r="H185" s="638"/>
      <c r="I185" s="596"/>
      <c r="J185" s="597"/>
    </row>
    <row r="186" spans="1:10" s="545" customFormat="1" ht="16.5" customHeight="1">
      <c r="A186" s="556" t="str">
        <f aca="true" t="shared" si="15" ref="A186:A191">+$A$184</f>
        <v>Ј.</v>
      </c>
      <c r="B186" s="557" t="s">
        <v>588</v>
      </c>
      <c r="C186" s="658" t="s">
        <v>1367</v>
      </c>
      <c r="D186" s="559" t="s">
        <v>1368</v>
      </c>
      <c r="E186" s="640" t="s">
        <v>740</v>
      </c>
      <c r="F186" s="567" t="s">
        <v>597</v>
      </c>
      <c r="G186" s="599">
        <f>+'[1]10_Камени'!M5</f>
        <v>8900</v>
      </c>
      <c r="H186" s="563">
        <f>+SUM('[1]10_Камени'!N5:O10)</f>
        <v>6398.262179356263</v>
      </c>
      <c r="I186" s="564">
        <f aca="true" t="shared" si="16" ref="I186:I191">+G186++H186</f>
        <v>15298.262179356263</v>
      </c>
      <c r="J186" s="565">
        <f aca="true" t="shared" si="17" ref="J186:J191">+$I186*$J$5</f>
        <v>18357.914615227513</v>
      </c>
    </row>
    <row r="187" spans="1:10" s="545" customFormat="1" ht="16.5" customHeight="1">
      <c r="A187" s="556" t="str">
        <f t="shared" si="15"/>
        <v>Ј.</v>
      </c>
      <c r="B187" s="557" t="s">
        <v>590</v>
      </c>
      <c r="C187" s="658" t="s">
        <v>1367</v>
      </c>
      <c r="D187" s="559" t="s">
        <v>1369</v>
      </c>
      <c r="E187" s="640" t="s">
        <v>741</v>
      </c>
      <c r="F187" s="567" t="s">
        <v>597</v>
      </c>
      <c r="G187" s="599">
        <f>+'[1]10_Камени'!M16</f>
        <v>7140</v>
      </c>
      <c r="H187" s="563">
        <f>+SUM('[1]10_Камени'!N16:O21)</f>
        <v>6398.262179356263</v>
      </c>
      <c r="I187" s="564">
        <f t="shared" si="16"/>
        <v>13538.262179356263</v>
      </c>
      <c r="J187" s="565">
        <f t="shared" si="17"/>
        <v>16245.914615227515</v>
      </c>
    </row>
    <row r="188" spans="1:10" s="566" customFormat="1" ht="16.5" customHeight="1">
      <c r="A188" s="556" t="str">
        <f t="shared" si="15"/>
        <v>Ј.</v>
      </c>
      <c r="B188" s="557" t="s">
        <v>593</v>
      </c>
      <c r="C188" s="558" t="s">
        <v>1370</v>
      </c>
      <c r="D188" s="559" t="s">
        <v>1371</v>
      </c>
      <c r="E188" s="626" t="s">
        <v>742</v>
      </c>
      <c r="F188" s="561" t="s">
        <v>1079</v>
      </c>
      <c r="G188" s="562">
        <f>+'[1]10_Камени'!O27</f>
        <v>7252.501132365561</v>
      </c>
      <c r="H188" s="616">
        <f>+SUM('[1]10_Камени'!P27:R30)</f>
        <v>12298.800737305137</v>
      </c>
      <c r="I188" s="564">
        <f t="shared" si="16"/>
        <v>19551.301869670697</v>
      </c>
      <c r="J188" s="571">
        <f t="shared" si="17"/>
        <v>23461.562243604836</v>
      </c>
    </row>
    <row r="189" spans="1:12" s="421" customFormat="1" ht="16.5" customHeight="1">
      <c r="A189" s="556" t="str">
        <f t="shared" si="15"/>
        <v>Ј.</v>
      </c>
      <c r="B189" s="557" t="s">
        <v>595</v>
      </c>
      <c r="C189" s="569" t="s">
        <v>1372</v>
      </c>
      <c r="D189" s="559" t="s">
        <v>1373</v>
      </c>
      <c r="E189" s="574" t="s">
        <v>743</v>
      </c>
      <c r="F189" s="561" t="s">
        <v>1079</v>
      </c>
      <c r="G189" s="562">
        <f>+'[1]10_Камени'!O36</f>
        <v>6.008575310967636</v>
      </c>
      <c r="H189" s="616">
        <f>+SUM('[1]10_Камени'!P36:R38)</f>
        <v>1941.3176006404556</v>
      </c>
      <c r="I189" s="564">
        <f t="shared" si="16"/>
        <v>1947.3261759514232</v>
      </c>
      <c r="J189" s="571">
        <f t="shared" si="17"/>
        <v>2336.7914111417076</v>
      </c>
      <c r="L189" s="566"/>
    </row>
    <row r="190" spans="1:10" s="421" customFormat="1" ht="16.5" customHeight="1">
      <c r="A190" s="556" t="str">
        <f t="shared" si="15"/>
        <v>Ј.</v>
      </c>
      <c r="B190" s="557" t="s">
        <v>598</v>
      </c>
      <c r="C190" s="569" t="s">
        <v>1374</v>
      </c>
      <c r="D190" s="559" t="s">
        <v>1375</v>
      </c>
      <c r="E190" s="574" t="s">
        <v>744</v>
      </c>
      <c r="F190" s="561" t="s">
        <v>1079</v>
      </c>
      <c r="G190" s="562">
        <f>+'[1]10_Камени'!I44</f>
        <v>165</v>
      </c>
      <c r="H190" s="616">
        <f>+'[1]10_Камени'!J44</f>
        <v>302.11904243072274</v>
      </c>
      <c r="I190" s="564">
        <f t="shared" si="16"/>
        <v>467.11904243072274</v>
      </c>
      <c r="J190" s="571">
        <f t="shared" si="17"/>
        <v>560.5428509168672</v>
      </c>
    </row>
    <row r="191" spans="1:10" s="421" customFormat="1" ht="16.5" customHeight="1">
      <c r="A191" s="556" t="str">
        <f t="shared" si="15"/>
        <v>Ј.</v>
      </c>
      <c r="B191" s="557" t="s">
        <v>600</v>
      </c>
      <c r="C191" s="658" t="s">
        <v>1376</v>
      </c>
      <c r="D191" s="559" t="s">
        <v>1377</v>
      </c>
      <c r="E191" s="574" t="s">
        <v>745</v>
      </c>
      <c r="F191" s="561" t="s">
        <v>1102</v>
      </c>
      <c r="G191" s="562">
        <f>+'[1]10_Камени'!I50</f>
        <v>4400</v>
      </c>
      <c r="H191" s="563">
        <f>+'[1]10_Камени'!J50+'[1]10_Камени'!J51</f>
        <v>3562.4459475623607</v>
      </c>
      <c r="I191" s="564">
        <f t="shared" si="16"/>
        <v>7962.445947562361</v>
      </c>
      <c r="J191" s="571">
        <f t="shared" si="17"/>
        <v>9554.935137074832</v>
      </c>
    </row>
    <row r="192" spans="1:10" s="421" customFormat="1" ht="16.5" customHeight="1">
      <c r="A192" s="659"/>
      <c r="B192" s="619"/>
      <c r="C192" s="577"/>
      <c r="D192" s="578"/>
      <c r="E192" s="660"/>
      <c r="F192" s="611"/>
      <c r="G192" s="620"/>
      <c r="H192" s="621"/>
      <c r="I192" s="583"/>
      <c r="J192" s="584"/>
    </row>
    <row r="193" spans="1:12" s="545" customFormat="1" ht="19.5" customHeight="1" thickBot="1">
      <c r="A193" s="842" t="s">
        <v>1378</v>
      </c>
      <c r="B193" s="843"/>
      <c r="C193" s="612"/>
      <c r="D193" s="538"/>
      <c r="E193" s="651" t="s">
        <v>746</v>
      </c>
      <c r="F193" s="652"/>
      <c r="G193" s="653"/>
      <c r="H193" s="654"/>
      <c r="I193" s="587"/>
      <c r="J193" s="588"/>
      <c r="L193" s="421"/>
    </row>
    <row r="194" spans="1:10" s="545" customFormat="1" ht="18" customHeight="1">
      <c r="A194" s="546"/>
      <c r="B194" s="661"/>
      <c r="C194" s="615"/>
      <c r="D194" s="591"/>
      <c r="E194" s="656"/>
      <c r="F194" s="603"/>
      <c r="G194" s="657"/>
      <c r="H194" s="638"/>
      <c r="I194" s="596"/>
      <c r="J194" s="597"/>
    </row>
    <row r="195" spans="1:12" s="566" customFormat="1" ht="18" customHeight="1">
      <c r="A195" s="556" t="str">
        <f>+A193</f>
        <v>К.</v>
      </c>
      <c r="B195" s="557" t="s">
        <v>588</v>
      </c>
      <c r="C195" s="558" t="s">
        <v>1379</v>
      </c>
      <c r="D195" s="559" t="s">
        <v>1380</v>
      </c>
      <c r="E195" s="640" t="s">
        <v>747</v>
      </c>
      <c r="F195" s="561" t="s">
        <v>1102</v>
      </c>
      <c r="G195" s="599"/>
      <c r="H195" s="563">
        <f>+'[1]11_Превоз'!H5</f>
        <v>1147.002816176193</v>
      </c>
      <c r="I195" s="564">
        <f>+G195+H195</f>
        <v>1147.002816176193</v>
      </c>
      <c r="J195" s="565">
        <f aca="true" t="shared" si="18" ref="J195:J211">+$I195*$J$5</f>
        <v>1376.4033794114314</v>
      </c>
      <c r="L195" s="545"/>
    </row>
    <row r="196" spans="1:10" s="566" customFormat="1" ht="18" customHeight="1">
      <c r="A196" s="556" t="str">
        <f>+A195</f>
        <v>К.</v>
      </c>
      <c r="B196" s="557" t="s">
        <v>590</v>
      </c>
      <c r="C196" s="558" t="s">
        <v>1381</v>
      </c>
      <c r="D196" s="559" t="s">
        <v>1382</v>
      </c>
      <c r="E196" s="640" t="s">
        <v>748</v>
      </c>
      <c r="F196" s="561" t="s">
        <v>1102</v>
      </c>
      <c r="G196" s="599"/>
      <c r="H196" s="563">
        <f>+'[1]11_Превоз'!H15</f>
        <v>1304.4345752591998</v>
      </c>
      <c r="I196" s="564">
        <f aca="true" t="shared" si="19" ref="I196:I211">+G196+H196</f>
        <v>1304.4345752591998</v>
      </c>
      <c r="J196" s="565">
        <f t="shared" si="18"/>
        <v>1565.3214903110397</v>
      </c>
    </row>
    <row r="197" spans="1:10" s="566" customFormat="1" ht="18" customHeight="1">
      <c r="A197" s="556" t="str">
        <f aca="true" t="shared" si="20" ref="A197:A211">+A196</f>
        <v>К.</v>
      </c>
      <c r="B197" s="557" t="s">
        <v>593</v>
      </c>
      <c r="C197" s="558" t="s">
        <v>1383</v>
      </c>
      <c r="D197" s="559" t="s">
        <v>1384</v>
      </c>
      <c r="E197" s="640" t="s">
        <v>749</v>
      </c>
      <c r="F197" s="561" t="s">
        <v>1102</v>
      </c>
      <c r="G197" s="599"/>
      <c r="H197" s="563">
        <f>+'[1]11_Превоз'!H25</f>
        <v>1191.983318771338</v>
      </c>
      <c r="I197" s="564">
        <f t="shared" si="19"/>
        <v>1191.983318771338</v>
      </c>
      <c r="J197" s="565">
        <f t="shared" si="18"/>
        <v>1430.3799825256056</v>
      </c>
    </row>
    <row r="198" spans="1:10" s="566" customFormat="1" ht="18" customHeight="1">
      <c r="A198" s="556" t="str">
        <f t="shared" si="20"/>
        <v>К.</v>
      </c>
      <c r="B198" s="557" t="s">
        <v>595</v>
      </c>
      <c r="C198" s="558" t="s">
        <v>1385</v>
      </c>
      <c r="D198" s="559" t="s">
        <v>1386</v>
      </c>
      <c r="E198" s="640" t="s">
        <v>750</v>
      </c>
      <c r="F198" s="561" t="s">
        <v>1102</v>
      </c>
      <c r="G198" s="599"/>
      <c r="H198" s="563">
        <f>+'[1]11_Превоз'!H35</f>
        <v>1311.931325691724</v>
      </c>
      <c r="I198" s="564">
        <f t="shared" si="19"/>
        <v>1311.931325691724</v>
      </c>
      <c r="J198" s="565">
        <f t="shared" si="18"/>
        <v>1574.3175908300686</v>
      </c>
    </row>
    <row r="199" spans="1:10" s="566" customFormat="1" ht="18" customHeight="1">
      <c r="A199" s="556" t="str">
        <f t="shared" si="20"/>
        <v>К.</v>
      </c>
      <c r="B199" s="557" t="s">
        <v>598</v>
      </c>
      <c r="C199" s="558" t="s">
        <v>1387</v>
      </c>
      <c r="D199" s="559" t="s">
        <v>1388</v>
      </c>
      <c r="E199" s="598" t="s">
        <v>751</v>
      </c>
      <c r="F199" s="561" t="s">
        <v>1102</v>
      </c>
      <c r="G199" s="599"/>
      <c r="H199" s="563">
        <f>+'[1]11_Превоз'!H45</f>
        <v>1566.8208403975445</v>
      </c>
      <c r="I199" s="564">
        <f t="shared" si="19"/>
        <v>1566.8208403975445</v>
      </c>
      <c r="J199" s="565">
        <f t="shared" si="18"/>
        <v>1880.1850084770533</v>
      </c>
    </row>
    <row r="200" spans="1:10" s="566" customFormat="1" ht="18" customHeight="1">
      <c r="A200" s="556" t="str">
        <f t="shared" si="20"/>
        <v>К.</v>
      </c>
      <c r="B200" s="557" t="s">
        <v>600</v>
      </c>
      <c r="C200" s="558" t="s">
        <v>1389</v>
      </c>
      <c r="D200" s="559" t="s">
        <v>1390</v>
      </c>
      <c r="E200" s="598" t="s">
        <v>752</v>
      </c>
      <c r="F200" s="561" t="s">
        <v>1102</v>
      </c>
      <c r="G200" s="599"/>
      <c r="H200" s="563">
        <f>+'[1]11_Превоз'!H55</f>
        <v>1319.4280761242483</v>
      </c>
      <c r="I200" s="564">
        <f t="shared" si="19"/>
        <v>1319.4280761242483</v>
      </c>
      <c r="J200" s="565">
        <f t="shared" si="18"/>
        <v>1583.3136913490978</v>
      </c>
    </row>
    <row r="201" spans="1:12" s="545" customFormat="1" ht="18" customHeight="1">
      <c r="A201" s="556" t="str">
        <f t="shared" si="20"/>
        <v>К.</v>
      </c>
      <c r="B201" s="557" t="s">
        <v>601</v>
      </c>
      <c r="C201" s="558" t="s">
        <v>1367</v>
      </c>
      <c r="D201" s="559" t="s">
        <v>1391</v>
      </c>
      <c r="E201" s="598" t="s">
        <v>753</v>
      </c>
      <c r="F201" s="561" t="s">
        <v>1102</v>
      </c>
      <c r="G201" s="599"/>
      <c r="H201" s="563">
        <f>+'[1]11_Превоз'!H65</f>
        <v>1746.7428507781242</v>
      </c>
      <c r="I201" s="564">
        <f t="shared" si="19"/>
        <v>1746.7428507781242</v>
      </c>
      <c r="J201" s="565">
        <f t="shared" si="18"/>
        <v>2096.091420933749</v>
      </c>
      <c r="L201" s="566"/>
    </row>
    <row r="202" spans="1:12" s="566" customFormat="1" ht="18" customHeight="1">
      <c r="A202" s="556" t="str">
        <f t="shared" si="20"/>
        <v>К.</v>
      </c>
      <c r="B202" s="557" t="s">
        <v>602</v>
      </c>
      <c r="C202" s="558" t="s">
        <v>1392</v>
      </c>
      <c r="D202" s="559" t="s">
        <v>1393</v>
      </c>
      <c r="E202" s="598" t="s">
        <v>754</v>
      </c>
      <c r="F202" s="561" t="s">
        <v>1102</v>
      </c>
      <c r="G202" s="599"/>
      <c r="H202" s="563">
        <f>+'[1]11_Превоз'!H75</f>
        <v>1469.3630847747309</v>
      </c>
      <c r="I202" s="564">
        <f t="shared" si="19"/>
        <v>1469.3630847747309</v>
      </c>
      <c r="J202" s="565">
        <f t="shared" si="18"/>
        <v>1763.235701729677</v>
      </c>
      <c r="L202" s="545"/>
    </row>
    <row r="203" spans="1:10" s="566" customFormat="1" ht="18" customHeight="1">
      <c r="A203" s="556" t="str">
        <f t="shared" si="20"/>
        <v>К.</v>
      </c>
      <c r="B203" s="557" t="s">
        <v>603</v>
      </c>
      <c r="C203" s="558" t="s">
        <v>1394</v>
      </c>
      <c r="D203" s="559" t="s">
        <v>1395</v>
      </c>
      <c r="E203" s="598" t="s">
        <v>755</v>
      </c>
      <c r="F203" s="561" t="s">
        <v>1102</v>
      </c>
      <c r="G203" s="599"/>
      <c r="H203" s="563">
        <f>+'[1]11_Превоз'!H85</f>
        <v>1364.408578719393</v>
      </c>
      <c r="I203" s="564">
        <f t="shared" si="19"/>
        <v>1364.408578719393</v>
      </c>
      <c r="J203" s="565">
        <f t="shared" si="18"/>
        <v>1637.2902944632717</v>
      </c>
    </row>
    <row r="204" spans="1:10" s="566" customFormat="1" ht="18" customHeight="1">
      <c r="A204" s="556" t="str">
        <f t="shared" si="20"/>
        <v>К.</v>
      </c>
      <c r="B204" s="557" t="s">
        <v>604</v>
      </c>
      <c r="C204" s="558" t="s">
        <v>1396</v>
      </c>
      <c r="D204" s="559" t="s">
        <v>1397</v>
      </c>
      <c r="E204" s="598" t="s">
        <v>756</v>
      </c>
      <c r="F204" s="561" t="s">
        <v>1102</v>
      </c>
      <c r="G204" s="599"/>
      <c r="H204" s="563">
        <f>+'[1]11_Превоз'!H95</f>
        <v>1139.5060657436688</v>
      </c>
      <c r="I204" s="564">
        <f t="shared" si="19"/>
        <v>1139.5060657436688</v>
      </c>
      <c r="J204" s="565">
        <f t="shared" si="18"/>
        <v>1367.4072788924025</v>
      </c>
    </row>
    <row r="205" spans="1:11" s="566" customFormat="1" ht="18" customHeight="1">
      <c r="A205" s="556" t="str">
        <f t="shared" si="20"/>
        <v>К.</v>
      </c>
      <c r="B205" s="557" t="s">
        <v>606</v>
      </c>
      <c r="C205" s="558" t="s">
        <v>1398</v>
      </c>
      <c r="D205" s="559" t="s">
        <v>1399</v>
      </c>
      <c r="E205" s="598" t="s">
        <v>757</v>
      </c>
      <c r="F205" s="561" t="s">
        <v>1102</v>
      </c>
      <c r="G205" s="599"/>
      <c r="H205" s="563">
        <f>+'[1]11_Превоз'!H105</f>
        <v>479.7920276815448</v>
      </c>
      <c r="I205" s="564">
        <f t="shared" si="19"/>
        <v>479.7920276815448</v>
      </c>
      <c r="J205" s="565">
        <f t="shared" si="18"/>
        <v>575.7504332178538</v>
      </c>
      <c r="K205" s="606"/>
    </row>
    <row r="206" spans="1:10" s="606" customFormat="1" ht="18" customHeight="1">
      <c r="A206" s="618" t="str">
        <f t="shared" si="20"/>
        <v>К.</v>
      </c>
      <c r="B206" s="557" t="s">
        <v>609</v>
      </c>
      <c r="C206" s="608" t="s">
        <v>1400</v>
      </c>
      <c r="D206" s="609" t="s">
        <v>1401</v>
      </c>
      <c r="E206" s="610" t="s">
        <v>758</v>
      </c>
      <c r="F206" s="611" t="s">
        <v>1102</v>
      </c>
      <c r="G206" s="581"/>
      <c r="H206" s="582">
        <f>+'[1]11_Превоз'!H112</f>
        <v>554.7595320067861</v>
      </c>
      <c r="I206" s="564">
        <f t="shared" si="19"/>
        <v>554.7595320067861</v>
      </c>
      <c r="J206" s="623">
        <f t="shared" si="18"/>
        <v>665.7114384081433</v>
      </c>
    </row>
    <row r="207" spans="1:11" s="606" customFormat="1" ht="18" customHeight="1">
      <c r="A207" s="662" t="str">
        <f t="shared" si="20"/>
        <v>К.</v>
      </c>
      <c r="B207" s="557" t="s">
        <v>611</v>
      </c>
      <c r="C207" s="636" t="s">
        <v>1402</v>
      </c>
      <c r="D207" s="591" t="s">
        <v>1403</v>
      </c>
      <c r="E207" s="602" t="s">
        <v>759</v>
      </c>
      <c r="F207" s="603" t="s">
        <v>1102</v>
      </c>
      <c r="G207" s="663"/>
      <c r="H207" s="664">
        <f>+'[1]11_Превоз'!H119</f>
        <v>599.740034601931</v>
      </c>
      <c r="I207" s="564">
        <f t="shared" si="19"/>
        <v>599.740034601931</v>
      </c>
      <c r="J207" s="639">
        <f t="shared" si="18"/>
        <v>719.6880415223172</v>
      </c>
      <c r="K207" s="566"/>
    </row>
    <row r="208" spans="1:12" s="606" customFormat="1" ht="18" customHeight="1">
      <c r="A208" s="556" t="str">
        <f t="shared" si="20"/>
        <v>К.</v>
      </c>
      <c r="B208" s="557" t="s">
        <v>621</v>
      </c>
      <c r="C208" s="558" t="s">
        <v>1404</v>
      </c>
      <c r="D208" s="559" t="s">
        <v>1405</v>
      </c>
      <c r="E208" s="598" t="s">
        <v>760</v>
      </c>
      <c r="F208" s="561" t="s">
        <v>1102</v>
      </c>
      <c r="G208" s="599"/>
      <c r="H208" s="563">
        <f>+'[1]11_Превоз'!H126</f>
        <v>434.81152508639997</v>
      </c>
      <c r="I208" s="564">
        <f t="shared" si="19"/>
        <v>434.81152508639997</v>
      </c>
      <c r="J208" s="565">
        <f t="shared" si="18"/>
        <v>521.77383010368</v>
      </c>
      <c r="K208" s="566"/>
      <c r="L208" s="566"/>
    </row>
    <row r="209" spans="1:12" s="606" customFormat="1" ht="18" customHeight="1">
      <c r="A209" s="556" t="str">
        <f t="shared" si="20"/>
        <v>К.</v>
      </c>
      <c r="B209" s="557" t="s">
        <v>622</v>
      </c>
      <c r="C209" s="558" t="s">
        <v>1406</v>
      </c>
      <c r="D209" s="559" t="s">
        <v>1407</v>
      </c>
      <c r="E209" s="598" t="s">
        <v>761</v>
      </c>
      <c r="F209" s="561" t="s">
        <v>1102</v>
      </c>
      <c r="G209" s="599"/>
      <c r="H209" s="563">
        <f>+'[1]11_Превоз'!H133</f>
        <v>554.7595320067862</v>
      </c>
      <c r="I209" s="564">
        <f t="shared" si="19"/>
        <v>554.7595320067862</v>
      </c>
      <c r="J209" s="565">
        <f t="shared" si="18"/>
        <v>665.7114384081434</v>
      </c>
      <c r="K209" s="566"/>
      <c r="L209" s="566"/>
    </row>
    <row r="210" spans="1:12" s="606" customFormat="1" ht="18" customHeight="1">
      <c r="A210" s="556" t="str">
        <f t="shared" si="20"/>
        <v>К.</v>
      </c>
      <c r="B210" s="557" t="s">
        <v>623</v>
      </c>
      <c r="C210" s="558" t="s">
        <v>1408</v>
      </c>
      <c r="D210" s="559" t="s">
        <v>1409</v>
      </c>
      <c r="E210" s="598" t="s">
        <v>762</v>
      </c>
      <c r="F210" s="561" t="s">
        <v>1102</v>
      </c>
      <c r="G210" s="599"/>
      <c r="H210" s="563">
        <f>+'[1]11_Превоз'!H140</f>
        <v>959.5840553630894</v>
      </c>
      <c r="I210" s="564">
        <f t="shared" si="19"/>
        <v>959.5840553630894</v>
      </c>
      <c r="J210" s="565">
        <f t="shared" si="18"/>
        <v>1151.5008664357072</v>
      </c>
      <c r="K210" s="566"/>
      <c r="L210" s="566"/>
    </row>
    <row r="211" spans="1:12" s="606" customFormat="1" ht="18" customHeight="1">
      <c r="A211" s="556" t="str">
        <f t="shared" si="20"/>
        <v>К.</v>
      </c>
      <c r="B211" s="557" t="s">
        <v>625</v>
      </c>
      <c r="C211" s="558" t="s">
        <v>1410</v>
      </c>
      <c r="D211" s="559" t="s">
        <v>1411</v>
      </c>
      <c r="E211" s="598" t="s">
        <v>763</v>
      </c>
      <c r="F211" s="567" t="s">
        <v>764</v>
      </c>
      <c r="G211" s="599"/>
      <c r="H211" s="563">
        <f>+'[1]11_Превоз'!H147</f>
        <v>1619.2980934252137</v>
      </c>
      <c r="I211" s="564">
        <f t="shared" si="19"/>
        <v>1619.2980934252137</v>
      </c>
      <c r="J211" s="565">
        <f t="shared" si="18"/>
        <v>1943.1577121102564</v>
      </c>
      <c r="L211" s="566"/>
    </row>
    <row r="212" spans="1:10" s="606" customFormat="1" ht="17.25" customHeight="1">
      <c r="A212" s="624"/>
      <c r="B212" s="628"/>
      <c r="C212" s="641"/>
      <c r="D212" s="549"/>
      <c r="E212" s="665"/>
      <c r="F212" s="666"/>
      <c r="G212" s="647"/>
      <c r="H212" s="648"/>
      <c r="I212" s="649"/>
      <c r="J212" s="667"/>
    </row>
    <row r="213" spans="1:12" s="545" customFormat="1" ht="19.5" customHeight="1" thickBot="1">
      <c r="A213" s="842" t="s">
        <v>1412</v>
      </c>
      <c r="B213" s="843"/>
      <c r="C213" s="537"/>
      <c r="D213" s="538"/>
      <c r="E213" s="651" t="s">
        <v>765</v>
      </c>
      <c r="F213" s="540"/>
      <c r="G213" s="585"/>
      <c r="H213" s="586"/>
      <c r="I213" s="587"/>
      <c r="J213" s="588"/>
      <c r="L213" s="606"/>
    </row>
    <row r="214" spans="1:10" s="545" customFormat="1" ht="17.25" customHeight="1">
      <c r="A214" s="546"/>
      <c r="B214" s="589"/>
      <c r="C214" s="590"/>
      <c r="D214" s="591"/>
      <c r="E214" s="656"/>
      <c r="F214" s="593"/>
      <c r="G214" s="594"/>
      <c r="H214" s="595"/>
      <c r="I214" s="596"/>
      <c r="J214" s="597"/>
    </row>
    <row r="215" spans="1:12" s="566" customFormat="1" ht="17.25" customHeight="1">
      <c r="A215" s="556" t="str">
        <f>+$A$213</f>
        <v>Л.</v>
      </c>
      <c r="B215" s="557" t="s">
        <v>588</v>
      </c>
      <c r="C215" s="558"/>
      <c r="D215" s="559"/>
      <c r="E215" s="668" t="str">
        <f>+'[1]12_Механизација'!D12</f>
        <v>Багер 
Комацу 
PC 210LC-7</v>
      </c>
      <c r="F215" s="567" t="s">
        <v>766</v>
      </c>
      <c r="G215" s="599"/>
      <c r="H215" s="563">
        <f>+'[1]12_Механизација'!D27</f>
        <v>9752.118613409084</v>
      </c>
      <c r="I215" s="564">
        <f aca="true" t="shared" si="21" ref="I215:I255">+G215++H215</f>
        <v>9752.118613409084</v>
      </c>
      <c r="J215" s="565">
        <f aca="true" t="shared" si="22" ref="J215:J255">+$I215*$J$5</f>
        <v>11702.5423360909</v>
      </c>
      <c r="L215" s="545"/>
    </row>
    <row r="216" spans="1:10" s="566" customFormat="1" ht="17.25" customHeight="1">
      <c r="A216" s="556" t="str">
        <f aca="true" t="shared" si="23" ref="A216:A255">+$A$213</f>
        <v>Л.</v>
      </c>
      <c r="B216" s="557" t="s">
        <v>590</v>
      </c>
      <c r="C216" s="558"/>
      <c r="D216" s="559"/>
      <c r="E216" s="668" t="str">
        <f>+'[1]12_Механизација'!E12</f>
        <v>Багер 
Комацу 
PC 210LC-8K</v>
      </c>
      <c r="F216" s="567" t="s">
        <v>766</v>
      </c>
      <c r="G216" s="599"/>
      <c r="H216" s="563">
        <f>+'[1]12_Механизација'!E27</f>
        <v>9752.118613409084</v>
      </c>
      <c r="I216" s="564">
        <f t="shared" si="21"/>
        <v>9752.118613409084</v>
      </c>
      <c r="J216" s="565">
        <f t="shared" si="22"/>
        <v>11702.5423360909</v>
      </c>
    </row>
    <row r="217" spans="1:10" s="566" customFormat="1" ht="17.25" customHeight="1">
      <c r="A217" s="556" t="str">
        <f t="shared" si="23"/>
        <v>Л.</v>
      </c>
      <c r="B217" s="557" t="s">
        <v>593</v>
      </c>
      <c r="C217" s="558"/>
      <c r="D217" s="559"/>
      <c r="E217" s="668" t="str">
        <f>+'[1]12_Механизација'!F12</f>
        <v>Багер 
Комацу 
PC 210LC (Дуга рука)</v>
      </c>
      <c r="F217" s="567" t="s">
        <v>766</v>
      </c>
      <c r="G217" s="599"/>
      <c r="H217" s="563">
        <f>+'[1]12_Механизација'!F27</f>
        <v>11123.811426266226</v>
      </c>
      <c r="I217" s="564">
        <f t="shared" si="21"/>
        <v>11123.811426266226</v>
      </c>
      <c r="J217" s="565">
        <f t="shared" si="22"/>
        <v>13348.57371151947</v>
      </c>
    </row>
    <row r="218" spans="1:10" s="566" customFormat="1" ht="17.25" customHeight="1">
      <c r="A218" s="556" t="str">
        <f t="shared" si="23"/>
        <v>Л.</v>
      </c>
      <c r="B218" s="557" t="s">
        <v>595</v>
      </c>
      <c r="C218" s="558"/>
      <c r="D218" s="559"/>
      <c r="E218" s="668" t="str">
        <f>+'[1]12_Механизација'!G12</f>
        <v>
Багер 
Комацу 
HB 215LC -2</v>
      </c>
      <c r="F218" s="567" t="s">
        <v>766</v>
      </c>
      <c r="G218" s="599"/>
      <c r="H218" s="563">
        <f>+'[1]12_Механизација'!G27</f>
        <v>10218.494169780513</v>
      </c>
      <c r="I218" s="564">
        <f t="shared" si="21"/>
        <v>10218.494169780513</v>
      </c>
      <c r="J218" s="565">
        <f t="shared" si="22"/>
        <v>12262.193003736616</v>
      </c>
    </row>
    <row r="219" spans="1:10" s="566" customFormat="1" ht="17.25" customHeight="1">
      <c r="A219" s="556" t="str">
        <f t="shared" si="23"/>
        <v>Л.</v>
      </c>
      <c r="B219" s="557" t="s">
        <v>598</v>
      </c>
      <c r="C219" s="558"/>
      <c r="D219" s="559"/>
      <c r="E219" s="668" t="str">
        <f>+'[1]12_Механизација'!H12</f>
        <v>Багер 
Комацу 
PW 140-7 (Точкаш)</v>
      </c>
      <c r="F219" s="567" t="s">
        <v>766</v>
      </c>
      <c r="G219" s="599"/>
      <c r="H219" s="563">
        <f>+'[1]12_Механизација'!H27</f>
        <v>9440.63480755946</v>
      </c>
      <c r="I219" s="564">
        <f t="shared" si="21"/>
        <v>9440.63480755946</v>
      </c>
      <c r="J219" s="565">
        <f t="shared" si="22"/>
        <v>11328.76176907135</v>
      </c>
    </row>
    <row r="220" spans="1:10" s="566" customFormat="1" ht="17.25" customHeight="1">
      <c r="A220" s="556" t="str">
        <f t="shared" si="23"/>
        <v>Л.</v>
      </c>
      <c r="B220" s="557" t="s">
        <v>600</v>
      </c>
      <c r="C220" s="569"/>
      <c r="D220" s="573"/>
      <c r="E220" s="574" t="str">
        <f>+'[1]12_Механизација'!I12</f>
        <v>Багер 
Менци мук (паук) 
A91 4x4</v>
      </c>
      <c r="F220" s="561" t="s">
        <v>766</v>
      </c>
      <c r="G220" s="599"/>
      <c r="H220" s="563">
        <f>+'[1]12_Механизација'!I27</f>
        <v>12211.879365732393</v>
      </c>
      <c r="I220" s="564">
        <f t="shared" si="21"/>
        <v>12211.879365732393</v>
      </c>
      <c r="J220" s="565">
        <f t="shared" si="22"/>
        <v>14654.255238878872</v>
      </c>
    </row>
    <row r="221" spans="1:10" s="566" customFormat="1" ht="17.25" customHeight="1">
      <c r="A221" s="556" t="str">
        <f t="shared" si="23"/>
        <v>Л.</v>
      </c>
      <c r="B221" s="557" t="s">
        <v>601</v>
      </c>
      <c r="C221" s="558"/>
      <c r="D221" s="559"/>
      <c r="E221" s="668" t="str">
        <f>+'[1]12_Механизација'!J12</f>
        <v>Булдозер 
 Комацу 
 D41E</v>
      </c>
      <c r="F221" s="567" t="s">
        <v>766</v>
      </c>
      <c r="G221" s="599"/>
      <c r="H221" s="563">
        <f>+'[1]12_Механизација'!J27</f>
        <v>7938.817048370655</v>
      </c>
      <c r="I221" s="564">
        <f t="shared" si="21"/>
        <v>7938.817048370655</v>
      </c>
      <c r="J221" s="565">
        <f t="shared" si="22"/>
        <v>9526.580458044786</v>
      </c>
    </row>
    <row r="222" spans="1:10" s="566" customFormat="1" ht="17.25" customHeight="1">
      <c r="A222" s="556" t="str">
        <f t="shared" si="23"/>
        <v>Л.</v>
      </c>
      <c r="B222" s="557" t="s">
        <v>602</v>
      </c>
      <c r="C222" s="558"/>
      <c r="D222" s="559"/>
      <c r="E222" s="668" t="str">
        <f>+'[1]12_Механизација'!K12</f>
        <v>Булдозер 
Комацу 
 D51EX-22</v>
      </c>
      <c r="F222" s="567" t="s">
        <v>766</v>
      </c>
      <c r="G222" s="599"/>
      <c r="H222" s="563">
        <f>+'[1]12_Механизација'!K27</f>
        <v>8865.10597098079</v>
      </c>
      <c r="I222" s="564">
        <f t="shared" si="21"/>
        <v>8865.10597098079</v>
      </c>
      <c r="J222" s="565">
        <f t="shared" si="22"/>
        <v>10638.127165176948</v>
      </c>
    </row>
    <row r="223" spans="1:10" s="566" customFormat="1" ht="17.25" customHeight="1">
      <c r="A223" s="556" t="str">
        <f t="shared" si="23"/>
        <v>Л.</v>
      </c>
      <c r="B223" s="557" t="s">
        <v>603</v>
      </c>
      <c r="C223" s="558"/>
      <c r="D223" s="559"/>
      <c r="E223" s="668" t="str">
        <f>+'[1]12_Механизација'!$L$12</f>
        <v>Утоваривач
 УЛТ</v>
      </c>
      <c r="F223" s="567" t="s">
        <v>766</v>
      </c>
      <c r="G223" s="599"/>
      <c r="H223" s="563">
        <f>+'[1]12_Механизација'!L27</f>
        <v>13723.855109516855</v>
      </c>
      <c r="I223" s="564">
        <f t="shared" si="21"/>
        <v>13723.855109516855</v>
      </c>
      <c r="J223" s="565">
        <f t="shared" si="22"/>
        <v>16468.626131420224</v>
      </c>
    </row>
    <row r="224" spans="1:10" s="566" customFormat="1" ht="17.25" customHeight="1">
      <c r="A224" s="556" t="str">
        <f t="shared" si="23"/>
        <v>Л.</v>
      </c>
      <c r="B224" s="557" t="s">
        <v>604</v>
      </c>
      <c r="C224" s="558"/>
      <c r="D224" s="559"/>
      <c r="E224" s="668" t="str">
        <f>+'[1]12_Механизација'!D40</f>
        <v>Трактор 
Кубота 
(са руком - тарупирање - шибље) М 7171</v>
      </c>
      <c r="F224" s="567" t="s">
        <v>766</v>
      </c>
      <c r="G224" s="599"/>
      <c r="H224" s="669">
        <f>+'[1]12_Механизација'!D55</f>
        <v>10099.818904763972</v>
      </c>
      <c r="I224" s="564">
        <f t="shared" si="21"/>
        <v>10099.818904763972</v>
      </c>
      <c r="J224" s="565">
        <f t="shared" si="22"/>
        <v>12119.782685716766</v>
      </c>
    </row>
    <row r="225" spans="1:10" s="566" customFormat="1" ht="17.25" customHeight="1">
      <c r="A225" s="556" t="str">
        <f t="shared" si="23"/>
        <v>Л.</v>
      </c>
      <c r="B225" s="557" t="s">
        <v>606</v>
      </c>
      <c r="C225" s="558"/>
      <c r="D225" s="559"/>
      <c r="E225" s="668" t="str">
        <f>+'[1]12_Механизација'!E40</f>
        <v>Трактор 
Солис 
(са ротационом косачицом -кошење) 90</v>
      </c>
      <c r="F225" s="567" t="s">
        <v>766</v>
      </c>
      <c r="G225" s="599"/>
      <c r="H225" s="669">
        <f>+'[1]12_Механизација'!E55</f>
        <v>4746.7188089654765</v>
      </c>
      <c r="I225" s="564">
        <f t="shared" si="21"/>
        <v>4746.7188089654765</v>
      </c>
      <c r="J225" s="565">
        <f t="shared" si="22"/>
        <v>5696.062570758571</v>
      </c>
    </row>
    <row r="226" spans="1:10" s="566" customFormat="1" ht="17.25" customHeight="1">
      <c r="A226" s="556" t="str">
        <f t="shared" si="23"/>
        <v>Л.</v>
      </c>
      <c r="B226" s="557" t="s">
        <v>609</v>
      </c>
      <c r="C226" s="558"/>
      <c r="D226" s="559"/>
      <c r="E226" s="668" t="str">
        <f>+'[1]12_Механизација'!F40</f>
        <v>Трактор 
Белорус 
(са руком - тарупирање - шибље) 1221.3</v>
      </c>
      <c r="F226" s="567" t="s">
        <v>766</v>
      </c>
      <c r="G226" s="599"/>
      <c r="H226" s="669">
        <f>+'[1]12_Механизација'!F55</f>
        <v>7563.890816179762</v>
      </c>
      <c r="I226" s="564">
        <f t="shared" si="21"/>
        <v>7563.890816179762</v>
      </c>
      <c r="J226" s="565">
        <f t="shared" si="22"/>
        <v>9076.668979415714</v>
      </c>
    </row>
    <row r="227" spans="1:10" s="566" customFormat="1" ht="17.25" customHeight="1">
      <c r="A227" s="556" t="str">
        <f t="shared" si="23"/>
        <v>Л.</v>
      </c>
      <c r="B227" s="557" t="s">
        <v>611</v>
      </c>
      <c r="C227" s="558"/>
      <c r="D227" s="559"/>
      <c r="E227" s="668" t="str">
        <f>+'[1]12_Механизација'!D96</f>
        <v>Виброваљак 
BW 124 DH</v>
      </c>
      <c r="F227" s="670" t="s">
        <v>766</v>
      </c>
      <c r="G227" s="599"/>
      <c r="H227" s="563">
        <f>+'[1]12_Механизација'!D111</f>
        <v>3817.0160334345883</v>
      </c>
      <c r="I227" s="564">
        <f>+G227++H227</f>
        <v>3817.0160334345883</v>
      </c>
      <c r="J227" s="565">
        <f>+$I227*$J$5</f>
        <v>4580.419240121506</v>
      </c>
    </row>
    <row r="228" spans="1:10" s="566" customFormat="1" ht="17.25" customHeight="1">
      <c r="A228" s="556" t="str">
        <f t="shared" si="23"/>
        <v>Л.</v>
      </c>
      <c r="B228" s="557" t="s">
        <v>621</v>
      </c>
      <c r="C228" s="558"/>
      <c r="D228" s="559"/>
      <c r="E228" s="668" t="str">
        <f>+'[1]12_Механизација'!E96</f>
        <v>Виброваљак 
BW BW 212</v>
      </c>
      <c r="F228" s="670" t="s">
        <v>766</v>
      </c>
      <c r="G228" s="599"/>
      <c r="H228" s="563">
        <f>+'[1]12_Механизација'!E111</f>
        <v>7430.915513401475</v>
      </c>
      <c r="I228" s="564">
        <f>+G228++H228</f>
        <v>7430.915513401475</v>
      </c>
      <c r="J228" s="565">
        <f>+$I228*$J$5</f>
        <v>8917.09861608177</v>
      </c>
    </row>
    <row r="229" spans="1:12" s="421" customFormat="1" ht="16.5" customHeight="1">
      <c r="A229" s="556" t="str">
        <f t="shared" si="23"/>
        <v>Л.</v>
      </c>
      <c r="B229" s="557" t="s">
        <v>622</v>
      </c>
      <c r="C229" s="658"/>
      <c r="D229" s="671"/>
      <c r="E229" s="672" t="str">
        <f>+'[1]12_Механизација'!D239</f>
        <v>Вибројеж 
BW 124 DH-5</v>
      </c>
      <c r="F229" s="670" t="s">
        <v>766</v>
      </c>
      <c r="G229" s="673"/>
      <c r="H229" s="669">
        <f>+'[1]12_Механизација'!D254</f>
        <v>3587.668995124874</v>
      </c>
      <c r="I229" s="674">
        <f>+G229++H229</f>
        <v>3587.668995124874</v>
      </c>
      <c r="J229" s="675">
        <f>+$I229*$J$5</f>
        <v>4305.202794149849</v>
      </c>
      <c r="L229" s="566"/>
    </row>
    <row r="230" spans="1:12" s="421" customFormat="1" ht="16.5" customHeight="1">
      <c r="A230" s="556" t="str">
        <f t="shared" si="23"/>
        <v>Л.</v>
      </c>
      <c r="B230" s="557" t="s">
        <v>623</v>
      </c>
      <c r="C230" s="658"/>
      <c r="D230" s="671"/>
      <c r="E230" s="672" t="str">
        <f>+'[1]12_Механизација'!E239</f>
        <v>Вибројеж 
BW BW 212 D-5</v>
      </c>
      <c r="F230" s="670" t="s">
        <v>766</v>
      </c>
      <c r="G230" s="673"/>
      <c r="H230" s="669">
        <f>+'[1]12_Механизација'!E254</f>
        <v>7026.08324123357</v>
      </c>
      <c r="I230" s="674">
        <f>+G230++H230</f>
        <v>7026.08324123357</v>
      </c>
      <c r="J230" s="675">
        <f>+$I230*$J$5</f>
        <v>8431.299889480284</v>
      </c>
      <c r="L230" s="566"/>
    </row>
    <row r="231" spans="1:10" s="566" customFormat="1" ht="17.25" customHeight="1">
      <c r="A231" s="556" t="str">
        <f t="shared" si="23"/>
        <v>Л.</v>
      </c>
      <c r="B231" s="557" t="s">
        <v>625</v>
      </c>
      <c r="C231" s="676"/>
      <c r="D231" s="559"/>
      <c r="E231" s="668" t="s">
        <v>1413</v>
      </c>
      <c r="F231" s="567" t="s">
        <v>766</v>
      </c>
      <c r="G231" s="599"/>
      <c r="H231" s="563">
        <f>+'[1]Материјал'!B108</f>
        <v>17172</v>
      </c>
      <c r="I231" s="564">
        <f t="shared" si="21"/>
        <v>17172</v>
      </c>
      <c r="J231" s="565">
        <f t="shared" si="22"/>
        <v>20606.399999999998</v>
      </c>
    </row>
    <row r="232" spans="1:10" s="566" customFormat="1" ht="17.25" customHeight="1">
      <c r="A232" s="556" t="str">
        <f t="shared" si="23"/>
        <v>Л.</v>
      </c>
      <c r="B232" s="557" t="s">
        <v>627</v>
      </c>
      <c r="C232" s="558"/>
      <c r="D232" s="559"/>
      <c r="E232" s="668" t="s">
        <v>1414</v>
      </c>
      <c r="F232" s="567" t="s">
        <v>766</v>
      </c>
      <c r="G232" s="599"/>
      <c r="H232" s="563">
        <f>+'[1]Материјал'!B109</f>
        <v>17553.6</v>
      </c>
      <c r="I232" s="564">
        <f t="shared" si="21"/>
        <v>17553.6</v>
      </c>
      <c r="J232" s="565">
        <f t="shared" si="22"/>
        <v>21064.319999999996</v>
      </c>
    </row>
    <row r="233" spans="1:10" s="566" customFormat="1" ht="17.25" customHeight="1">
      <c r="A233" s="556" t="str">
        <f t="shared" si="23"/>
        <v>Л.</v>
      </c>
      <c r="B233" s="557" t="s">
        <v>629</v>
      </c>
      <c r="C233" s="558"/>
      <c r="D233" s="559"/>
      <c r="E233" s="668" t="s">
        <v>1415</v>
      </c>
      <c r="F233" s="567" t="s">
        <v>766</v>
      </c>
      <c r="G233" s="599"/>
      <c r="H233" s="563">
        <f>+'[1]Материјал'!B110</f>
        <v>17935.2</v>
      </c>
      <c r="I233" s="564">
        <f t="shared" si="21"/>
        <v>17935.2</v>
      </c>
      <c r="J233" s="565">
        <f t="shared" si="22"/>
        <v>21522.24</v>
      </c>
    </row>
    <row r="234" spans="1:10" s="566" customFormat="1" ht="17.25" customHeight="1">
      <c r="A234" s="556" t="str">
        <f t="shared" si="23"/>
        <v>Л.</v>
      </c>
      <c r="B234" s="557" t="s">
        <v>630</v>
      </c>
      <c r="C234" s="558"/>
      <c r="D234" s="559"/>
      <c r="E234" s="668" t="s">
        <v>1416</v>
      </c>
      <c r="F234" s="567" t="s">
        <v>766</v>
      </c>
      <c r="G234" s="599"/>
      <c r="H234" s="563">
        <f>+'[1]Материјал'!B111</f>
        <v>24676.800000000003</v>
      </c>
      <c r="I234" s="564">
        <f t="shared" si="21"/>
        <v>24676.800000000003</v>
      </c>
      <c r="J234" s="565">
        <f t="shared" si="22"/>
        <v>29612.160000000003</v>
      </c>
    </row>
    <row r="235" spans="1:10" s="566" customFormat="1" ht="17.25" customHeight="1">
      <c r="A235" s="556" t="str">
        <f t="shared" si="23"/>
        <v>Л.</v>
      </c>
      <c r="B235" s="557" t="s">
        <v>631</v>
      </c>
      <c r="C235" s="558"/>
      <c r="D235" s="559"/>
      <c r="E235" s="668" t="s">
        <v>767</v>
      </c>
      <c r="F235" s="567" t="s">
        <v>766</v>
      </c>
      <c r="G235" s="599"/>
      <c r="H235" s="563">
        <f>+'[1]12_Механизација'!$D$166</f>
        <v>9352.19229277999</v>
      </c>
      <c r="I235" s="564">
        <f t="shared" si="21"/>
        <v>9352.19229277999</v>
      </c>
      <c r="J235" s="565">
        <f t="shared" si="22"/>
        <v>11222.630751335988</v>
      </c>
    </row>
    <row r="236" spans="1:10" s="566" customFormat="1" ht="17.25" customHeight="1">
      <c r="A236" s="556" t="str">
        <f t="shared" si="23"/>
        <v>Л.</v>
      </c>
      <c r="B236" s="557" t="s">
        <v>633</v>
      </c>
      <c r="C236" s="558"/>
      <c r="D236" s="559"/>
      <c r="E236" s="668" t="s">
        <v>1417</v>
      </c>
      <c r="F236" s="567" t="s">
        <v>766</v>
      </c>
      <c r="G236" s="599"/>
      <c r="H236" s="563">
        <f>+'[1]12_Механизација'!H139</f>
        <v>4856.4352612563625</v>
      </c>
      <c r="I236" s="564">
        <f t="shared" si="21"/>
        <v>4856.4352612563625</v>
      </c>
      <c r="J236" s="565">
        <f t="shared" si="22"/>
        <v>5827.722313507635</v>
      </c>
    </row>
    <row r="237" spans="1:10" s="566" customFormat="1" ht="17.25" customHeight="1">
      <c r="A237" s="556" t="str">
        <f t="shared" si="23"/>
        <v>Л.</v>
      </c>
      <c r="B237" s="557" t="s">
        <v>635</v>
      </c>
      <c r="C237" s="569"/>
      <c r="D237" s="573"/>
      <c r="E237" s="668" t="s">
        <v>768</v>
      </c>
      <c r="F237" s="561" t="s">
        <v>766</v>
      </c>
      <c r="G237" s="599"/>
      <c r="H237" s="563">
        <f>+'[1]12_Механизација'!F139</f>
        <v>4651.397432308993</v>
      </c>
      <c r="I237" s="564">
        <f t="shared" si="21"/>
        <v>4651.397432308993</v>
      </c>
      <c r="J237" s="565">
        <f t="shared" si="22"/>
        <v>5581.676918770791</v>
      </c>
    </row>
    <row r="238" spans="1:10" s="566" customFormat="1" ht="17.25" customHeight="1">
      <c r="A238" s="556" t="str">
        <f t="shared" si="23"/>
        <v>Л.</v>
      </c>
      <c r="B238" s="557" t="s">
        <v>636</v>
      </c>
      <c r="C238" s="658"/>
      <c r="D238" s="671"/>
      <c r="E238" s="672" t="str">
        <f>+'[1]12_Механизација'!M12</f>
        <v>Утоваривач 
 Бобкет С175ХФ</v>
      </c>
      <c r="F238" s="670" t="s">
        <v>766</v>
      </c>
      <c r="G238" s="673"/>
      <c r="H238" s="669">
        <f>+'[1]12_Механизација'!M27</f>
        <v>4655.1527839153505</v>
      </c>
      <c r="I238" s="564">
        <f t="shared" si="21"/>
        <v>4655.1527839153505</v>
      </c>
      <c r="J238" s="565">
        <f t="shared" si="22"/>
        <v>5586.183340698421</v>
      </c>
    </row>
    <row r="239" spans="1:10" s="566" customFormat="1" ht="17.25" customHeight="1">
      <c r="A239" s="556" t="str">
        <f t="shared" si="23"/>
        <v>Л.</v>
      </c>
      <c r="B239" s="557" t="s">
        <v>638</v>
      </c>
      <c r="C239" s="658"/>
      <c r="D239" s="671"/>
      <c r="E239" s="672" t="str">
        <f>+'[1]12_Механизација'!N12</f>
        <v>Комбинована машина</v>
      </c>
      <c r="F239" s="670" t="s">
        <v>766</v>
      </c>
      <c r="G239" s="673"/>
      <c r="H239" s="669">
        <f>+'[1]12_Механизација'!N27</f>
        <v>6615.122661283772</v>
      </c>
      <c r="I239" s="564">
        <f t="shared" si="21"/>
        <v>6615.122661283772</v>
      </c>
      <c r="J239" s="565">
        <f t="shared" si="22"/>
        <v>7938.147193540526</v>
      </c>
    </row>
    <row r="240" spans="1:10" s="566" customFormat="1" ht="17.25" customHeight="1">
      <c r="A240" s="556" t="str">
        <f t="shared" si="23"/>
        <v>Л.</v>
      </c>
      <c r="B240" s="557" t="s">
        <v>640</v>
      </c>
      <c r="C240" s="658"/>
      <c r="D240" s="671"/>
      <c r="E240" s="672" t="s">
        <v>769</v>
      </c>
      <c r="F240" s="567" t="s">
        <v>766</v>
      </c>
      <c r="G240" s="599"/>
      <c r="H240" s="563">
        <f>+'[1]12_Механизација'!$J$166</f>
        <v>12625.459595252987</v>
      </c>
      <c r="I240" s="564">
        <f t="shared" si="21"/>
        <v>12625.459595252987</v>
      </c>
      <c r="J240" s="565">
        <f t="shared" si="22"/>
        <v>15150.551514303585</v>
      </c>
    </row>
    <row r="241" spans="1:11" s="566" customFormat="1" ht="17.25" customHeight="1">
      <c r="A241" s="556" t="str">
        <f t="shared" si="23"/>
        <v>Л.</v>
      </c>
      <c r="B241" s="557" t="s">
        <v>642</v>
      </c>
      <c r="C241" s="658"/>
      <c r="D241" s="671"/>
      <c r="E241" s="672" t="s">
        <v>1418</v>
      </c>
      <c r="F241" s="567" t="s">
        <v>1419</v>
      </c>
      <c r="G241" s="599"/>
      <c r="H241" s="677">
        <f>+K241*$L$3</f>
        <v>13780</v>
      </c>
      <c r="I241" s="564">
        <f>+K241*$L$3</f>
        <v>13780</v>
      </c>
      <c r="J241" s="565">
        <f t="shared" si="22"/>
        <v>16536</v>
      </c>
      <c r="K241" s="564">
        <f>13000</f>
        <v>13000</v>
      </c>
    </row>
    <row r="242" spans="1:11" s="566" customFormat="1" ht="17.25" customHeight="1">
      <c r="A242" s="556" t="str">
        <f t="shared" si="23"/>
        <v>Л.</v>
      </c>
      <c r="B242" s="557" t="s">
        <v>644</v>
      </c>
      <c r="C242" s="658"/>
      <c r="D242" s="671"/>
      <c r="E242" s="672" t="s">
        <v>1420</v>
      </c>
      <c r="F242" s="567" t="s">
        <v>1419</v>
      </c>
      <c r="G242" s="599"/>
      <c r="H242" s="677">
        <f>+K242*$L$3</f>
        <v>22260</v>
      </c>
      <c r="I242" s="564">
        <f>+K242*$L$3</f>
        <v>22260</v>
      </c>
      <c r="J242" s="565">
        <f t="shared" si="22"/>
        <v>26712</v>
      </c>
      <c r="K242" s="564">
        <f>21000</f>
        <v>21000</v>
      </c>
    </row>
    <row r="243" spans="1:11" s="566" customFormat="1" ht="17.25" customHeight="1">
      <c r="A243" s="556" t="str">
        <f t="shared" si="23"/>
        <v>Л.</v>
      </c>
      <c r="B243" s="557" t="s">
        <v>646</v>
      </c>
      <c r="C243" s="658"/>
      <c r="D243" s="671"/>
      <c r="E243" s="672" t="s">
        <v>1421</v>
      </c>
      <c r="F243" s="567" t="s">
        <v>1419</v>
      </c>
      <c r="G243" s="599"/>
      <c r="H243" s="677">
        <f>+K243*$L$3</f>
        <v>31270</v>
      </c>
      <c r="I243" s="564">
        <f>+K243*$L$3</f>
        <v>31270</v>
      </c>
      <c r="J243" s="565">
        <f t="shared" si="22"/>
        <v>37524</v>
      </c>
      <c r="K243" s="564">
        <f>29500</f>
        <v>29500</v>
      </c>
    </row>
    <row r="244" spans="1:11" s="566" customFormat="1" ht="17.25" customHeight="1">
      <c r="A244" s="556" t="str">
        <f t="shared" si="23"/>
        <v>Л.</v>
      </c>
      <c r="B244" s="557" t="s">
        <v>648</v>
      </c>
      <c r="C244" s="658"/>
      <c r="D244" s="671"/>
      <c r="E244" s="672" t="s">
        <v>1422</v>
      </c>
      <c r="F244" s="567" t="s">
        <v>1419</v>
      </c>
      <c r="G244" s="599"/>
      <c r="H244" s="677">
        <f>+K244*$L$3</f>
        <v>34980</v>
      </c>
      <c r="I244" s="564">
        <f>+K244*$L$3</f>
        <v>34980</v>
      </c>
      <c r="J244" s="565">
        <f t="shared" si="22"/>
        <v>41976</v>
      </c>
      <c r="K244" s="564">
        <f>33000</f>
        <v>33000</v>
      </c>
    </row>
    <row r="245" spans="1:11" s="566" customFormat="1" ht="17.25" customHeight="1">
      <c r="A245" s="556" t="str">
        <f t="shared" si="23"/>
        <v>Л.</v>
      </c>
      <c r="B245" s="557" t="s">
        <v>650</v>
      </c>
      <c r="C245" s="658"/>
      <c r="D245" s="671"/>
      <c r="E245" s="672" t="s">
        <v>1423</v>
      </c>
      <c r="F245" s="567" t="s">
        <v>1419</v>
      </c>
      <c r="G245" s="599"/>
      <c r="H245" s="677">
        <f>+K245*$L$3</f>
        <v>36040</v>
      </c>
      <c r="I245" s="564">
        <f>+K245*$L$3</f>
        <v>36040</v>
      </c>
      <c r="J245" s="565">
        <f t="shared" si="22"/>
        <v>43248</v>
      </c>
      <c r="K245" s="564">
        <f>34000</f>
        <v>34000</v>
      </c>
    </row>
    <row r="246" spans="1:10" s="566" customFormat="1" ht="17.25" customHeight="1">
      <c r="A246" s="556" t="str">
        <f t="shared" si="23"/>
        <v>Л.</v>
      </c>
      <c r="B246" s="557" t="s">
        <v>652</v>
      </c>
      <c r="C246" s="658"/>
      <c r="D246" s="671"/>
      <c r="E246" s="672" t="s">
        <v>770</v>
      </c>
      <c r="F246" s="561" t="s">
        <v>766</v>
      </c>
      <c r="G246" s="599"/>
      <c r="H246" s="678">
        <f>+'[1]12_Механизација'!O27</f>
        <v>12752.1900679755</v>
      </c>
      <c r="I246" s="564">
        <f t="shared" si="21"/>
        <v>12752.1900679755</v>
      </c>
      <c r="J246" s="565">
        <f t="shared" si="22"/>
        <v>15302.6280815706</v>
      </c>
    </row>
    <row r="247" spans="1:12" s="421" customFormat="1" ht="17.25" customHeight="1">
      <c r="A247" s="556" t="str">
        <f t="shared" si="23"/>
        <v>Л.</v>
      </c>
      <c r="B247" s="557" t="s">
        <v>654</v>
      </c>
      <c r="C247" s="658"/>
      <c r="D247" s="671"/>
      <c r="E247" s="672" t="s">
        <v>771</v>
      </c>
      <c r="F247" s="561" t="s">
        <v>766</v>
      </c>
      <c r="G247" s="599"/>
      <c r="H247" s="679">
        <f>2500*1.080357</f>
        <v>2700.8925</v>
      </c>
      <c r="I247" s="564">
        <f t="shared" si="21"/>
        <v>2700.8925</v>
      </c>
      <c r="J247" s="565">
        <f t="shared" si="22"/>
        <v>3241.071</v>
      </c>
      <c r="L247" s="566"/>
    </row>
    <row r="248" spans="1:10" s="421" customFormat="1" ht="17.25" customHeight="1">
      <c r="A248" s="556" t="str">
        <f t="shared" si="23"/>
        <v>Л.</v>
      </c>
      <c r="B248" s="557" t="s">
        <v>656</v>
      </c>
      <c r="C248" s="658"/>
      <c r="D248" s="671"/>
      <c r="E248" s="672" t="s">
        <v>772</v>
      </c>
      <c r="F248" s="561" t="s">
        <v>766</v>
      </c>
      <c r="G248" s="599"/>
      <c r="H248" s="679">
        <f>38000*1.080357</f>
        <v>41053.566</v>
      </c>
      <c r="I248" s="564">
        <f t="shared" si="21"/>
        <v>41053.566</v>
      </c>
      <c r="J248" s="565">
        <f t="shared" si="22"/>
        <v>49264.2792</v>
      </c>
    </row>
    <row r="249" spans="1:10" s="421" customFormat="1" ht="17.25" customHeight="1">
      <c r="A249" s="556" t="str">
        <f t="shared" si="23"/>
        <v>Л.</v>
      </c>
      <c r="B249" s="557" t="s">
        <v>658</v>
      </c>
      <c r="C249" s="658"/>
      <c r="D249" s="671"/>
      <c r="E249" s="672" t="s">
        <v>772</v>
      </c>
      <c r="F249" s="561" t="s">
        <v>773</v>
      </c>
      <c r="G249" s="599"/>
      <c r="H249" s="679">
        <f>500000*1.080357</f>
        <v>540178.5</v>
      </c>
      <c r="I249" s="564">
        <f t="shared" si="21"/>
        <v>540178.5</v>
      </c>
      <c r="J249" s="565">
        <f t="shared" si="22"/>
        <v>648214.2</v>
      </c>
    </row>
    <row r="250" spans="1:10" s="421" customFormat="1" ht="17.25" customHeight="1">
      <c r="A250" s="556" t="str">
        <f t="shared" si="23"/>
        <v>Л.</v>
      </c>
      <c r="B250" s="557" t="s">
        <v>660</v>
      </c>
      <c r="C250" s="569"/>
      <c r="D250" s="573"/>
      <c r="E250" s="574" t="s">
        <v>774</v>
      </c>
      <c r="F250" s="561" t="s">
        <v>766</v>
      </c>
      <c r="G250" s="599"/>
      <c r="H250" s="679">
        <f>2800*1.06</f>
        <v>2968</v>
      </c>
      <c r="I250" s="564">
        <f t="shared" si="21"/>
        <v>2968</v>
      </c>
      <c r="J250" s="565">
        <f t="shared" si="22"/>
        <v>3561.6</v>
      </c>
    </row>
    <row r="251" spans="1:10" s="421" customFormat="1" ht="17.25" customHeight="1">
      <c r="A251" s="556" t="str">
        <f t="shared" si="23"/>
        <v>Л.</v>
      </c>
      <c r="B251" s="557" t="s">
        <v>662</v>
      </c>
      <c r="C251" s="577"/>
      <c r="D251" s="578"/>
      <c r="E251" s="660" t="s">
        <v>775</v>
      </c>
      <c r="F251" s="561" t="s">
        <v>766</v>
      </c>
      <c r="G251" s="599"/>
      <c r="H251" s="680">
        <f>3690.75*1.06</f>
        <v>3912.195</v>
      </c>
      <c r="I251" s="564">
        <f t="shared" si="21"/>
        <v>3912.195</v>
      </c>
      <c r="J251" s="565">
        <f t="shared" si="22"/>
        <v>4694.634</v>
      </c>
    </row>
    <row r="252" spans="1:11" s="421" customFormat="1" ht="17.25" customHeight="1">
      <c r="A252" s="556" t="str">
        <f t="shared" si="23"/>
        <v>Л.</v>
      </c>
      <c r="B252" s="557" t="s">
        <v>664</v>
      </c>
      <c r="C252" s="681"/>
      <c r="D252" s="682"/>
      <c r="E252" s="683" t="s">
        <v>1424</v>
      </c>
      <c r="F252" s="561" t="s">
        <v>766</v>
      </c>
      <c r="G252" s="599"/>
      <c r="H252" s="677">
        <f>+K252*$K$3</f>
        <v>8912.94525</v>
      </c>
      <c r="I252" s="564">
        <f>+K252*$K$3</f>
        <v>8912.94525</v>
      </c>
      <c r="J252" s="565">
        <f t="shared" si="22"/>
        <v>10695.534300000001</v>
      </c>
      <c r="K252" s="583">
        <v>8250</v>
      </c>
    </row>
    <row r="253" spans="1:11" s="421" customFormat="1" ht="17.25" customHeight="1">
      <c r="A253" s="556" t="str">
        <f t="shared" si="23"/>
        <v>Л.</v>
      </c>
      <c r="B253" s="557" t="s">
        <v>666</v>
      </c>
      <c r="C253" s="681"/>
      <c r="D253" s="682"/>
      <c r="E253" s="683" t="s">
        <v>776</v>
      </c>
      <c r="F253" s="567" t="s">
        <v>777</v>
      </c>
      <c r="G253" s="599"/>
      <c r="H253" s="677">
        <f>+K253*$K$3</f>
        <v>145.848195</v>
      </c>
      <c r="I253" s="564">
        <f>+K253*$K$3</f>
        <v>145.848195</v>
      </c>
      <c r="J253" s="565">
        <f t="shared" si="22"/>
        <v>175.017834</v>
      </c>
      <c r="K253" s="583">
        <v>135</v>
      </c>
    </row>
    <row r="254" spans="1:10" s="421" customFormat="1" ht="17.25" customHeight="1">
      <c r="A254" s="556" t="str">
        <f t="shared" si="23"/>
        <v>Л.</v>
      </c>
      <c r="B254" s="557" t="s">
        <v>668</v>
      </c>
      <c r="C254" s="577"/>
      <c r="D254" s="578"/>
      <c r="E254" s="660" t="s">
        <v>1425</v>
      </c>
      <c r="F254" s="561" t="s">
        <v>1102</v>
      </c>
      <c r="G254" s="599"/>
      <c r="H254" s="680">
        <f>1000*1.06</f>
        <v>1060</v>
      </c>
      <c r="I254" s="564">
        <f t="shared" si="21"/>
        <v>1060</v>
      </c>
      <c r="J254" s="565">
        <f t="shared" si="22"/>
        <v>1272</v>
      </c>
    </row>
    <row r="255" spans="1:10" s="421" customFormat="1" ht="17.25" customHeight="1">
      <c r="A255" s="556" t="str">
        <f t="shared" si="23"/>
        <v>Л.</v>
      </c>
      <c r="B255" s="557" t="s">
        <v>670</v>
      </c>
      <c r="C255" s="577"/>
      <c r="D255" s="578"/>
      <c r="E255" s="660" t="s">
        <v>778</v>
      </c>
      <c r="F255" s="561" t="s">
        <v>766</v>
      </c>
      <c r="G255" s="599"/>
      <c r="H255" s="679">
        <f>700*1.06</f>
        <v>742</v>
      </c>
      <c r="I255" s="564">
        <f t="shared" si="21"/>
        <v>742</v>
      </c>
      <c r="J255" s="565">
        <f t="shared" si="22"/>
        <v>890.4</v>
      </c>
    </row>
    <row r="256" spans="1:10" s="421" customFormat="1" ht="17.25" customHeight="1">
      <c r="A256" s="659"/>
      <c r="B256" s="619"/>
      <c r="C256" s="577"/>
      <c r="D256" s="578"/>
      <c r="E256" s="660"/>
      <c r="F256" s="611"/>
      <c r="G256" s="620"/>
      <c r="H256" s="621"/>
      <c r="I256" s="583"/>
      <c r="J256" s="584"/>
    </row>
    <row r="257" spans="1:12" s="527" customFormat="1" ht="19.5" customHeight="1" thickBot="1">
      <c r="A257" s="842" t="s">
        <v>1426</v>
      </c>
      <c r="B257" s="843"/>
      <c r="C257" s="684"/>
      <c r="D257" s="685"/>
      <c r="E257" s="651" t="s">
        <v>779</v>
      </c>
      <c r="F257" s="686"/>
      <c r="G257" s="687"/>
      <c r="H257" s="688"/>
      <c r="I257" s="689"/>
      <c r="J257" s="690"/>
      <c r="L257" s="421"/>
    </row>
    <row r="258" spans="1:10" s="527" customFormat="1" ht="16.5" customHeight="1">
      <c r="A258" s="691"/>
      <c r="B258" s="692"/>
      <c r="C258" s="693"/>
      <c r="D258" s="694"/>
      <c r="E258" s="656"/>
      <c r="F258" s="695"/>
      <c r="G258" s="696"/>
      <c r="H258" s="697"/>
      <c r="I258" s="698"/>
      <c r="J258" s="699"/>
    </row>
    <row r="259" spans="1:12" s="421" customFormat="1" ht="16.5" customHeight="1">
      <c r="A259" s="556" t="str">
        <f>+$A$257</f>
        <v>М.</v>
      </c>
      <c r="B259" s="557" t="s">
        <v>588</v>
      </c>
      <c r="C259" s="658"/>
      <c r="D259" s="671"/>
      <c r="E259" s="672" t="str">
        <f>+'[1]12_Механизација'!D180</f>
        <v>Хонда WB20</v>
      </c>
      <c r="F259" s="670" t="s">
        <v>766</v>
      </c>
      <c r="G259" s="673"/>
      <c r="H259" s="700">
        <f>+'[1]12_Механизација'!D199</f>
        <v>2085.1361840372133</v>
      </c>
      <c r="I259" s="674">
        <f aca="true" t="shared" si="24" ref="I259:I266">+G259++H259</f>
        <v>2085.1361840372133</v>
      </c>
      <c r="J259" s="675">
        <f aca="true" t="shared" si="25" ref="J259:J266">+$I259*$J$5</f>
        <v>2502.163420844656</v>
      </c>
      <c r="L259" s="527"/>
    </row>
    <row r="260" spans="1:10" s="421" customFormat="1" ht="16.5" customHeight="1">
      <c r="A260" s="556" t="str">
        <f aca="true" t="shared" si="26" ref="A260:A266">+$A$257</f>
        <v>М.</v>
      </c>
      <c r="B260" s="557" t="s">
        <v>590</v>
      </c>
      <c r="C260" s="658"/>
      <c r="D260" s="671"/>
      <c r="E260" s="672" t="str">
        <f>+'[1]12_Механизација'!E180</f>
        <v>Муљна пумпа WТ40</v>
      </c>
      <c r="F260" s="670" t="s">
        <v>766</v>
      </c>
      <c r="G260" s="673"/>
      <c r="H260" s="700">
        <f>+'[1]12_Механизација'!E199</f>
        <v>2043.5730617972617</v>
      </c>
      <c r="I260" s="674">
        <f t="shared" si="24"/>
        <v>2043.5730617972617</v>
      </c>
      <c r="J260" s="675">
        <f t="shared" si="25"/>
        <v>2452.287674156714</v>
      </c>
    </row>
    <row r="261" spans="1:10" s="421" customFormat="1" ht="16.5" customHeight="1">
      <c r="A261" s="556" t="str">
        <f t="shared" si="26"/>
        <v>М.</v>
      </c>
      <c r="B261" s="557" t="s">
        <v>593</v>
      </c>
      <c r="C261" s="658"/>
      <c r="D261" s="671"/>
      <c r="E261" s="672" t="str">
        <f>+'[1]12_Механизација'!D210</f>
        <v>Хонда H3200M</v>
      </c>
      <c r="F261" s="670" t="s">
        <v>766</v>
      </c>
      <c r="G261" s="673"/>
      <c r="H261" s="700">
        <f>+'[1]12_Механизација'!D229</f>
        <v>4905.183849221459</v>
      </c>
      <c r="I261" s="674">
        <f t="shared" si="24"/>
        <v>4905.183849221459</v>
      </c>
      <c r="J261" s="675">
        <f t="shared" si="25"/>
        <v>5886.220619065751</v>
      </c>
    </row>
    <row r="262" spans="1:10" s="421" customFormat="1" ht="16.5" customHeight="1">
      <c r="A262" s="556" t="str">
        <f t="shared" si="26"/>
        <v>М.</v>
      </c>
      <c r="B262" s="557" t="s">
        <v>595</v>
      </c>
      <c r="C262" s="658"/>
      <c r="D262" s="671"/>
      <c r="E262" s="672" t="str">
        <f>+'[1]12_Механизација'!E210</f>
        <v>Хонда H5500M</v>
      </c>
      <c r="F262" s="670" t="s">
        <v>766</v>
      </c>
      <c r="G262" s="673"/>
      <c r="H262" s="700">
        <f>+'[1]12_Механизација'!E229</f>
        <v>5216.321426706839</v>
      </c>
      <c r="I262" s="674">
        <f t="shared" si="24"/>
        <v>5216.321426706839</v>
      </c>
      <c r="J262" s="675">
        <f t="shared" si="25"/>
        <v>6259.585712048206</v>
      </c>
    </row>
    <row r="263" spans="1:12" s="566" customFormat="1" ht="17.25" customHeight="1">
      <c r="A263" s="556" t="str">
        <f t="shared" si="26"/>
        <v>М.</v>
      </c>
      <c r="B263" s="557" t="s">
        <v>598</v>
      </c>
      <c r="C263" s="558"/>
      <c r="D263" s="559"/>
      <c r="E263" s="668" t="str">
        <f>+'[1]12_Механизација'!D68</f>
        <v>Виброплоча 
BPR 40/60 D/E</v>
      </c>
      <c r="F263" s="670" t="s">
        <v>766</v>
      </c>
      <c r="G263" s="599"/>
      <c r="H263" s="563">
        <f>+'[1]12_Механизација'!D83</f>
        <v>1576.6291556947986</v>
      </c>
      <c r="I263" s="564">
        <f t="shared" si="24"/>
        <v>1576.6291556947986</v>
      </c>
      <c r="J263" s="565">
        <f t="shared" si="25"/>
        <v>1891.954986833758</v>
      </c>
      <c r="L263" s="421"/>
    </row>
    <row r="264" spans="1:10" s="566" customFormat="1" ht="17.25" customHeight="1">
      <c r="A264" s="556" t="str">
        <f t="shared" si="26"/>
        <v>М.</v>
      </c>
      <c r="B264" s="557" t="s">
        <v>600</v>
      </c>
      <c r="C264" s="558"/>
      <c r="D264" s="559"/>
      <c r="E264" s="668" t="str">
        <f>+'[1]12_Механизација'!E68</f>
        <v>Виброплоча 
BPR 70/75</v>
      </c>
      <c r="F264" s="670" t="s">
        <v>766</v>
      </c>
      <c r="G264" s="599"/>
      <c r="H264" s="563">
        <f>+'[1]12_Механизација'!E83</f>
        <v>1923.6923495587084</v>
      </c>
      <c r="I264" s="564">
        <f t="shared" si="24"/>
        <v>1923.6923495587084</v>
      </c>
      <c r="J264" s="565">
        <f t="shared" si="25"/>
        <v>2308.43081947045</v>
      </c>
    </row>
    <row r="265" spans="1:14" s="421" customFormat="1" ht="16.5" customHeight="1">
      <c r="A265" s="556" t="str">
        <f t="shared" si="26"/>
        <v>М.</v>
      </c>
      <c r="B265" s="557" t="s">
        <v>601</v>
      </c>
      <c r="C265" s="681"/>
      <c r="D265" s="682"/>
      <c r="E265" s="683" t="s">
        <v>780</v>
      </c>
      <c r="F265" s="670" t="s">
        <v>1427</v>
      </c>
      <c r="G265" s="673"/>
      <c r="H265" s="669">
        <f>+N265</f>
        <v>2092.683807100783</v>
      </c>
      <c r="I265" s="674">
        <f t="shared" si="24"/>
        <v>2092.683807100783</v>
      </c>
      <c r="J265" s="701">
        <f t="shared" si="25"/>
        <v>2511.220568520939</v>
      </c>
      <c r="K265" s="421">
        <v>0.808</v>
      </c>
      <c r="L265" s="421">
        <v>0.25</v>
      </c>
      <c r="M265" s="421">
        <v>0.81</v>
      </c>
      <c r="N265" s="421">
        <f>+K265*'[1]Анализа_радник'!J4+'[1]Ценовник'!L265*'[1]Анализа_радник'!J5+'[1]Ценовник'!M265*'[1]Анализа_радник'!J6</f>
        <v>2092.683807100783</v>
      </c>
    </row>
    <row r="266" spans="1:10" s="421" customFormat="1" ht="16.5" customHeight="1">
      <c r="A266" s="556" t="str">
        <f t="shared" si="26"/>
        <v>М.</v>
      </c>
      <c r="B266" s="557" t="s">
        <v>602</v>
      </c>
      <c r="C266" s="702"/>
      <c r="D266" s="703"/>
      <c r="E266" s="704" t="s">
        <v>1428</v>
      </c>
      <c r="F266" s="705" t="s">
        <v>1429</v>
      </c>
      <c r="G266" s="706"/>
      <c r="H266" s="707">
        <f>3.5*120</f>
        <v>420</v>
      </c>
      <c r="I266" s="674">
        <f t="shared" si="24"/>
        <v>420</v>
      </c>
      <c r="J266" s="708">
        <f t="shared" si="25"/>
        <v>504</v>
      </c>
    </row>
    <row r="267" spans="1:10" s="421" customFormat="1" ht="16.5" customHeight="1">
      <c r="A267" s="659"/>
      <c r="B267" s="619"/>
      <c r="C267" s="608"/>
      <c r="D267" s="609"/>
      <c r="E267" s="709"/>
      <c r="F267" s="580"/>
      <c r="G267" s="581"/>
      <c r="H267" s="582"/>
      <c r="I267" s="622"/>
      <c r="J267" s="623"/>
    </row>
    <row r="268" spans="1:10" s="421" customFormat="1" ht="19.5" customHeight="1" thickBot="1">
      <c r="A268" s="842" t="s">
        <v>1430</v>
      </c>
      <c r="B268" s="843"/>
      <c r="C268" s="710"/>
      <c r="D268" s="538"/>
      <c r="E268" s="651" t="s">
        <v>781</v>
      </c>
      <c r="F268" s="711"/>
      <c r="G268" s="613"/>
      <c r="H268" s="712"/>
      <c r="I268" s="587"/>
      <c r="J268" s="588"/>
    </row>
    <row r="269" spans="1:10" s="421" customFormat="1" ht="17.25" customHeight="1">
      <c r="A269" s="659"/>
      <c r="B269" s="692"/>
      <c r="C269" s="636"/>
      <c r="D269" s="591"/>
      <c r="E269" s="656"/>
      <c r="F269" s="713"/>
      <c r="G269" s="663"/>
      <c r="H269" s="664"/>
      <c r="I269" s="596"/>
      <c r="J269" s="597"/>
    </row>
    <row r="270" spans="1:11" s="421" customFormat="1" ht="17.25" customHeight="1">
      <c r="A270" s="714" t="str">
        <f>+A268</f>
        <v>Н.</v>
      </c>
      <c r="B270" s="715" t="s">
        <v>588</v>
      </c>
      <c r="C270" s="702"/>
      <c r="D270" s="703"/>
      <c r="E270" s="704" t="s">
        <v>782</v>
      </c>
      <c r="F270" s="705" t="s">
        <v>1431</v>
      </c>
      <c r="G270" s="716"/>
      <c r="H270" s="677">
        <f>+K270*$K$3</f>
        <v>177.03810159</v>
      </c>
      <c r="I270" s="717">
        <f aca="true" t="shared" si="27" ref="I270:I284">+G270+H270</f>
        <v>177.03810159</v>
      </c>
      <c r="J270" s="708">
        <f aca="true" t="shared" si="28" ref="J270:J284">+$I270*$J$5</f>
        <v>212.445721908</v>
      </c>
      <c r="K270" s="717">
        <v>163.87</v>
      </c>
    </row>
    <row r="271" spans="1:11" s="421" customFormat="1" ht="17.25" customHeight="1">
      <c r="A271" s="714" t="str">
        <f>+A270</f>
        <v>Н.</v>
      </c>
      <c r="B271" s="715" t="s">
        <v>590</v>
      </c>
      <c r="C271" s="702"/>
      <c r="D271" s="703"/>
      <c r="E271" s="704" t="s">
        <v>783</v>
      </c>
      <c r="F271" s="705" t="s">
        <v>1431</v>
      </c>
      <c r="G271" s="716"/>
      <c r="H271" s="677">
        <f aca="true" t="shared" si="29" ref="H271:H280">+K271*$K$3</f>
        <v>229.69470177000002</v>
      </c>
      <c r="I271" s="717">
        <f t="shared" si="27"/>
        <v>229.69470177000002</v>
      </c>
      <c r="J271" s="708">
        <f t="shared" si="28"/>
        <v>275.633642124</v>
      </c>
      <c r="K271" s="717">
        <v>212.61</v>
      </c>
    </row>
    <row r="272" spans="1:11" s="421" customFormat="1" ht="17.25" customHeight="1">
      <c r="A272" s="714" t="str">
        <f aca="true" t="shared" si="30" ref="A272:A284">+A271</f>
        <v>Н.</v>
      </c>
      <c r="B272" s="715" t="s">
        <v>593</v>
      </c>
      <c r="C272" s="702"/>
      <c r="D272" s="703"/>
      <c r="E272" s="704" t="s">
        <v>784</v>
      </c>
      <c r="F272" s="705" t="s">
        <v>1431</v>
      </c>
      <c r="G272" s="716"/>
      <c r="H272" s="677">
        <f t="shared" si="29"/>
        <v>282.35130195000005</v>
      </c>
      <c r="I272" s="717">
        <f t="shared" si="27"/>
        <v>282.35130195000005</v>
      </c>
      <c r="J272" s="708">
        <f t="shared" si="28"/>
        <v>338.82156234000007</v>
      </c>
      <c r="K272" s="717">
        <v>261.35</v>
      </c>
    </row>
    <row r="273" spans="1:11" s="421" customFormat="1" ht="17.25" customHeight="1">
      <c r="A273" s="714" t="str">
        <f t="shared" si="30"/>
        <v>Н.</v>
      </c>
      <c r="B273" s="715" t="s">
        <v>595</v>
      </c>
      <c r="C273" s="702"/>
      <c r="D273" s="703"/>
      <c r="E273" s="704" t="s">
        <v>785</v>
      </c>
      <c r="F273" s="705" t="s">
        <v>1431</v>
      </c>
      <c r="G273" s="716"/>
      <c r="H273" s="677">
        <f t="shared" si="29"/>
        <v>334.99709856</v>
      </c>
      <c r="I273" s="717">
        <f t="shared" si="27"/>
        <v>334.99709856</v>
      </c>
      <c r="J273" s="708">
        <f t="shared" si="28"/>
        <v>401.99651827199995</v>
      </c>
      <c r="K273" s="717">
        <v>310.08</v>
      </c>
    </row>
    <row r="274" spans="1:11" s="421" customFormat="1" ht="17.25" customHeight="1">
      <c r="A274" s="714" t="str">
        <f t="shared" si="30"/>
        <v>Н.</v>
      </c>
      <c r="B274" s="715" t="s">
        <v>598</v>
      </c>
      <c r="C274" s="702"/>
      <c r="D274" s="703"/>
      <c r="E274" s="704" t="s">
        <v>786</v>
      </c>
      <c r="F274" s="705" t="s">
        <v>1431</v>
      </c>
      <c r="G274" s="716"/>
      <c r="H274" s="677">
        <f t="shared" si="29"/>
        <v>387.65369874</v>
      </c>
      <c r="I274" s="717">
        <f t="shared" si="27"/>
        <v>387.65369874</v>
      </c>
      <c r="J274" s="708">
        <f t="shared" si="28"/>
        <v>465.18443848799996</v>
      </c>
      <c r="K274" s="717">
        <v>358.82</v>
      </c>
    </row>
    <row r="275" spans="1:11" s="421" customFormat="1" ht="17.25" customHeight="1">
      <c r="A275" s="714" t="str">
        <f t="shared" si="30"/>
        <v>Н.</v>
      </c>
      <c r="B275" s="715" t="s">
        <v>600</v>
      </c>
      <c r="C275" s="702"/>
      <c r="D275" s="703"/>
      <c r="E275" s="704" t="s">
        <v>787</v>
      </c>
      <c r="F275" s="705" t="s">
        <v>1431</v>
      </c>
      <c r="G275" s="716"/>
      <c r="H275" s="677">
        <f t="shared" si="29"/>
        <v>650.9150925</v>
      </c>
      <c r="I275" s="717">
        <f t="shared" si="27"/>
        <v>650.9150925</v>
      </c>
      <c r="J275" s="708">
        <f t="shared" si="28"/>
        <v>781.098111</v>
      </c>
      <c r="K275" s="717">
        <v>602.5</v>
      </c>
    </row>
    <row r="276" spans="1:11" s="421" customFormat="1" ht="17.25" customHeight="1">
      <c r="A276" s="714" t="str">
        <f t="shared" si="30"/>
        <v>Н.</v>
      </c>
      <c r="B276" s="715" t="s">
        <v>601</v>
      </c>
      <c r="C276" s="702"/>
      <c r="D276" s="703"/>
      <c r="E276" s="704" t="s">
        <v>788</v>
      </c>
      <c r="F276" s="705" t="s">
        <v>1431</v>
      </c>
      <c r="G276" s="716"/>
      <c r="H276" s="677">
        <f t="shared" si="29"/>
        <v>914.1764862599999</v>
      </c>
      <c r="I276" s="717">
        <f t="shared" si="27"/>
        <v>914.1764862599999</v>
      </c>
      <c r="J276" s="708">
        <f t="shared" si="28"/>
        <v>1097.011783512</v>
      </c>
      <c r="K276" s="717">
        <v>846.18</v>
      </c>
    </row>
    <row r="277" spans="1:11" s="421" customFormat="1" ht="17.25" customHeight="1">
      <c r="A277" s="714" t="str">
        <f t="shared" si="30"/>
        <v>Н.</v>
      </c>
      <c r="B277" s="715" t="s">
        <v>602</v>
      </c>
      <c r="C277" s="702"/>
      <c r="D277" s="703"/>
      <c r="E277" s="704" t="s">
        <v>789</v>
      </c>
      <c r="F277" s="705" t="s">
        <v>1431</v>
      </c>
      <c r="G277" s="716"/>
      <c r="H277" s="677">
        <f t="shared" si="29"/>
        <v>1177.43788002</v>
      </c>
      <c r="I277" s="717">
        <f t="shared" si="27"/>
        <v>1177.43788002</v>
      </c>
      <c r="J277" s="708">
        <f t="shared" si="28"/>
        <v>1412.925456024</v>
      </c>
      <c r="K277" s="717">
        <v>1089.86</v>
      </c>
    </row>
    <row r="278" spans="1:11" s="421" customFormat="1" ht="17.25" customHeight="1">
      <c r="A278" s="714" t="str">
        <f t="shared" si="30"/>
        <v>Н.</v>
      </c>
      <c r="B278" s="715" t="s">
        <v>603</v>
      </c>
      <c r="C278" s="702"/>
      <c r="D278" s="703"/>
      <c r="E278" s="704" t="s">
        <v>790</v>
      </c>
      <c r="F278" s="705" t="s">
        <v>1431</v>
      </c>
      <c r="G278" s="716"/>
      <c r="H278" s="677">
        <f t="shared" si="29"/>
        <v>1440.6992737799999</v>
      </c>
      <c r="I278" s="717">
        <f t="shared" si="27"/>
        <v>1440.6992737799999</v>
      </c>
      <c r="J278" s="708">
        <f t="shared" si="28"/>
        <v>1728.8391285359999</v>
      </c>
      <c r="K278" s="717">
        <v>1333.54</v>
      </c>
    </row>
    <row r="279" spans="1:11" s="421" customFormat="1" ht="17.25" customHeight="1">
      <c r="A279" s="714" t="str">
        <f t="shared" si="30"/>
        <v>Н.</v>
      </c>
      <c r="B279" s="715" t="s">
        <v>604</v>
      </c>
      <c r="C279" s="702"/>
      <c r="D279" s="703"/>
      <c r="E279" s="704" t="s">
        <v>791</v>
      </c>
      <c r="F279" s="705" t="s">
        <v>1431</v>
      </c>
      <c r="G279" s="716"/>
      <c r="H279" s="677">
        <f t="shared" si="29"/>
        <v>1703.96066754</v>
      </c>
      <c r="I279" s="717">
        <f t="shared" si="27"/>
        <v>1703.96066754</v>
      </c>
      <c r="J279" s="708">
        <f t="shared" si="28"/>
        <v>2044.752801048</v>
      </c>
      <c r="K279" s="717">
        <v>1577.22</v>
      </c>
    </row>
    <row r="280" spans="1:11" s="421" customFormat="1" ht="17.25" customHeight="1">
      <c r="A280" s="714" t="str">
        <f t="shared" si="30"/>
        <v>Н.</v>
      </c>
      <c r="B280" s="715" t="s">
        <v>606</v>
      </c>
      <c r="C280" s="702"/>
      <c r="D280" s="703"/>
      <c r="E280" s="704" t="s">
        <v>792</v>
      </c>
      <c r="F280" s="705" t="s">
        <v>597</v>
      </c>
      <c r="G280" s="716"/>
      <c r="H280" s="677">
        <f t="shared" si="29"/>
        <v>47416.86873</v>
      </c>
      <c r="I280" s="717">
        <f t="shared" si="27"/>
        <v>47416.86873</v>
      </c>
      <c r="J280" s="708">
        <f t="shared" si="28"/>
        <v>56900.242476</v>
      </c>
      <c r="K280" s="717">
        <v>43890</v>
      </c>
    </row>
    <row r="281" spans="1:10" s="421" customFormat="1" ht="17.25" customHeight="1">
      <c r="A281" s="714" t="str">
        <f t="shared" si="30"/>
        <v>Н.</v>
      </c>
      <c r="B281" s="715" t="s">
        <v>609</v>
      </c>
      <c r="C281" s="702"/>
      <c r="D281" s="703"/>
      <c r="E281" s="704" t="s">
        <v>793</v>
      </c>
      <c r="F281" s="705" t="s">
        <v>794</v>
      </c>
      <c r="G281" s="706"/>
      <c r="H281" s="677">
        <f>+'[1]Материјал'!B138</f>
        <v>7000</v>
      </c>
      <c r="I281" s="717">
        <f t="shared" si="27"/>
        <v>7000</v>
      </c>
      <c r="J281" s="708">
        <f t="shared" si="28"/>
        <v>8400</v>
      </c>
    </row>
    <row r="282" spans="1:10" s="421" customFormat="1" ht="17.25" customHeight="1">
      <c r="A282" s="714" t="str">
        <f t="shared" si="30"/>
        <v>Н.</v>
      </c>
      <c r="B282" s="715" t="s">
        <v>611</v>
      </c>
      <c r="C282" s="702"/>
      <c r="D282" s="703"/>
      <c r="E282" s="704" t="s">
        <v>795</v>
      </c>
      <c r="F282" s="705" t="s">
        <v>794</v>
      </c>
      <c r="G282" s="706"/>
      <c r="H282" s="677">
        <f>+'[1]Материјал'!B139</f>
        <v>11000</v>
      </c>
      <c r="I282" s="717">
        <f t="shared" si="27"/>
        <v>11000</v>
      </c>
      <c r="J282" s="708">
        <f t="shared" si="28"/>
        <v>13200</v>
      </c>
    </row>
    <row r="283" spans="1:10" s="421" customFormat="1" ht="17.25" customHeight="1">
      <c r="A283" s="714" t="str">
        <f t="shared" si="30"/>
        <v>Н.</v>
      </c>
      <c r="B283" s="715" t="s">
        <v>621</v>
      </c>
      <c r="C283" s="702"/>
      <c r="D283" s="703"/>
      <c r="E283" s="704" t="s">
        <v>796</v>
      </c>
      <c r="F283" s="705" t="s">
        <v>794</v>
      </c>
      <c r="G283" s="706"/>
      <c r="H283" s="677">
        <f>+'[1]Материјал'!B140</f>
        <v>17000</v>
      </c>
      <c r="I283" s="717">
        <f t="shared" si="27"/>
        <v>17000</v>
      </c>
      <c r="J283" s="708">
        <f t="shared" si="28"/>
        <v>20400</v>
      </c>
    </row>
    <row r="284" spans="1:10" s="421" customFormat="1" ht="17.25" customHeight="1">
      <c r="A284" s="714" t="str">
        <f t="shared" si="30"/>
        <v>Н.</v>
      </c>
      <c r="B284" s="715" t="s">
        <v>622</v>
      </c>
      <c r="C284" s="718"/>
      <c r="D284" s="719"/>
      <c r="E284" s="720" t="s">
        <v>797</v>
      </c>
      <c r="F284" s="705" t="s">
        <v>794</v>
      </c>
      <c r="G284" s="706"/>
      <c r="H284" s="677">
        <f>+'[1]Материјал'!B141</f>
        <v>19000</v>
      </c>
      <c r="I284" s="717">
        <f t="shared" si="27"/>
        <v>19000</v>
      </c>
      <c r="J284" s="721">
        <f t="shared" si="28"/>
        <v>22800</v>
      </c>
    </row>
    <row r="285" spans="1:10" s="421" customFormat="1" ht="17.25" customHeight="1">
      <c r="A285" s="722"/>
      <c r="B285" s="723"/>
      <c r="C285" s="724"/>
      <c r="D285" s="725"/>
      <c r="E285" s="726"/>
      <c r="F285" s="727"/>
      <c r="G285" s="728"/>
      <c r="H285" s="729"/>
      <c r="I285" s="730"/>
      <c r="J285" s="731"/>
    </row>
    <row r="286" spans="1:10" s="421" customFormat="1" ht="19.5" customHeight="1" thickBot="1">
      <c r="A286" s="842" t="s">
        <v>1432</v>
      </c>
      <c r="B286" s="843"/>
      <c r="C286" s="732"/>
      <c r="D286" s="733"/>
      <c r="E286" s="651" t="s">
        <v>798</v>
      </c>
      <c r="F286" s="652"/>
      <c r="G286" s="653"/>
      <c r="H286" s="654"/>
      <c r="I286" s="734"/>
      <c r="J286" s="735"/>
    </row>
    <row r="287" spans="1:10" s="421" customFormat="1" ht="17.25" customHeight="1">
      <c r="A287" s="659"/>
      <c r="B287" s="661"/>
      <c r="C287" s="736"/>
      <c r="D287" s="737"/>
      <c r="E287" s="656"/>
      <c r="F287" s="603"/>
      <c r="G287" s="657"/>
      <c r="H287" s="638"/>
      <c r="I287" s="738"/>
      <c r="J287" s="739"/>
    </row>
    <row r="288" spans="1:10" s="421" customFormat="1" ht="17.25" customHeight="1">
      <c r="A288" s="556" t="str">
        <f>+A286</f>
        <v>О.</v>
      </c>
      <c r="B288" s="557"/>
      <c r="C288" s="569"/>
      <c r="D288" s="573"/>
      <c r="E288" s="574" t="s">
        <v>799</v>
      </c>
      <c r="F288" s="561"/>
      <c r="G288" s="562"/>
      <c r="H288" s="616"/>
      <c r="I288" s="717"/>
      <c r="J288" s="571"/>
    </row>
    <row r="289" spans="1:11" s="421" customFormat="1" ht="17.25" customHeight="1">
      <c r="A289" s="556" t="str">
        <f>+A288</f>
        <v>О.</v>
      </c>
      <c r="B289" s="557" t="s">
        <v>588</v>
      </c>
      <c r="C289" s="569"/>
      <c r="D289" s="573"/>
      <c r="E289" s="574" t="s">
        <v>800</v>
      </c>
      <c r="F289" s="561" t="s">
        <v>801</v>
      </c>
      <c r="G289" s="599"/>
      <c r="H289" s="677">
        <f>+K289*$K$3</f>
        <v>124781.2335</v>
      </c>
      <c r="I289" s="717">
        <f aca="true" t="shared" si="31" ref="I289:I302">+G289+H289</f>
        <v>124781.2335</v>
      </c>
      <c r="J289" s="571">
        <f aca="true" t="shared" si="32" ref="J289:J302">+$I289*$J$5</f>
        <v>149737.4802</v>
      </c>
      <c r="K289" s="717">
        <v>115500</v>
      </c>
    </row>
    <row r="290" spans="1:12" s="421" customFormat="1" ht="17.25" customHeight="1">
      <c r="A290" s="556" t="str">
        <f aca="true" t="shared" si="33" ref="A290:A302">+A289</f>
        <v>О.</v>
      </c>
      <c r="B290" s="557" t="s">
        <v>590</v>
      </c>
      <c r="C290" s="569"/>
      <c r="D290" s="573"/>
      <c r="E290" s="574" t="s">
        <v>802</v>
      </c>
      <c r="F290" s="561" t="s">
        <v>801</v>
      </c>
      <c r="G290" s="599"/>
      <c r="H290" s="677">
        <f aca="true" t="shared" si="34" ref="H290:H302">+K290*$K$3</f>
        <v>187171.85025</v>
      </c>
      <c r="I290" s="717">
        <f t="shared" si="31"/>
        <v>187171.85025</v>
      </c>
      <c r="J290" s="571">
        <f t="shared" si="32"/>
        <v>224606.2203</v>
      </c>
      <c r="K290" s="717">
        <v>173250</v>
      </c>
      <c r="L290" s="740">
        <v>1.080357</v>
      </c>
    </row>
    <row r="291" spans="1:11" s="421" customFormat="1" ht="17.25" customHeight="1">
      <c r="A291" s="556" t="str">
        <f t="shared" si="33"/>
        <v>О.</v>
      </c>
      <c r="B291" s="557" t="s">
        <v>593</v>
      </c>
      <c r="C291" s="569"/>
      <c r="D291" s="573"/>
      <c r="E291" s="574" t="s">
        <v>803</v>
      </c>
      <c r="F291" s="561" t="s">
        <v>801</v>
      </c>
      <c r="G291" s="599"/>
      <c r="H291" s="677">
        <f t="shared" si="34"/>
        <v>311953.08375</v>
      </c>
      <c r="I291" s="717">
        <f t="shared" si="31"/>
        <v>311953.08375</v>
      </c>
      <c r="J291" s="571">
        <f t="shared" si="32"/>
        <v>374343.7005</v>
      </c>
      <c r="K291" s="717">
        <v>288750</v>
      </c>
    </row>
    <row r="292" spans="1:11" s="421" customFormat="1" ht="17.25" customHeight="1">
      <c r="A292" s="556" t="str">
        <f t="shared" si="33"/>
        <v>О.</v>
      </c>
      <c r="B292" s="557" t="s">
        <v>595</v>
      </c>
      <c r="C292" s="569"/>
      <c r="D292" s="573"/>
      <c r="E292" s="574" t="s">
        <v>804</v>
      </c>
      <c r="F292" s="561" t="s">
        <v>766</v>
      </c>
      <c r="G292" s="599"/>
      <c r="H292" s="677">
        <f t="shared" si="34"/>
        <v>21607.14</v>
      </c>
      <c r="I292" s="717">
        <f t="shared" si="31"/>
        <v>21607.14</v>
      </c>
      <c r="J292" s="571">
        <f t="shared" si="32"/>
        <v>25928.568</v>
      </c>
      <c r="K292" s="717">
        <v>20000</v>
      </c>
    </row>
    <row r="293" spans="1:11" s="421" customFormat="1" ht="17.25" customHeight="1">
      <c r="A293" s="556"/>
      <c r="B293" s="557"/>
      <c r="C293" s="569"/>
      <c r="D293" s="573"/>
      <c r="E293" s="574" t="s">
        <v>805</v>
      </c>
      <c r="F293" s="561"/>
      <c r="G293" s="562"/>
      <c r="H293" s="677"/>
      <c r="I293" s="717"/>
      <c r="J293" s="571"/>
      <c r="K293" s="717"/>
    </row>
    <row r="294" spans="1:11" s="421" customFormat="1" ht="17.25" customHeight="1">
      <c r="A294" s="556" t="str">
        <f>+A292</f>
        <v>О.</v>
      </c>
      <c r="B294" s="557" t="s">
        <v>598</v>
      </c>
      <c r="C294" s="569"/>
      <c r="D294" s="573"/>
      <c r="E294" s="574" t="s">
        <v>1433</v>
      </c>
      <c r="F294" s="561" t="s">
        <v>777</v>
      </c>
      <c r="G294" s="599"/>
      <c r="H294" s="677">
        <f t="shared" si="34"/>
        <v>12478.12335</v>
      </c>
      <c r="I294" s="717">
        <f t="shared" si="31"/>
        <v>12478.12335</v>
      </c>
      <c r="J294" s="571">
        <f t="shared" si="32"/>
        <v>14973.748019999999</v>
      </c>
      <c r="K294" s="717">
        <v>11550</v>
      </c>
    </row>
    <row r="295" spans="1:11" s="421" customFormat="1" ht="17.25" customHeight="1">
      <c r="A295" s="556" t="str">
        <f t="shared" si="33"/>
        <v>О.</v>
      </c>
      <c r="B295" s="557" t="s">
        <v>600</v>
      </c>
      <c r="C295" s="569"/>
      <c r="D295" s="573"/>
      <c r="E295" s="574" t="s">
        <v>1434</v>
      </c>
      <c r="F295" s="561" t="s">
        <v>777</v>
      </c>
      <c r="G295" s="599"/>
      <c r="H295" s="677">
        <f t="shared" si="34"/>
        <v>18717.185025</v>
      </c>
      <c r="I295" s="717">
        <f t="shared" si="31"/>
        <v>18717.185025</v>
      </c>
      <c r="J295" s="571">
        <f t="shared" si="32"/>
        <v>22460.62203</v>
      </c>
      <c r="K295" s="717">
        <v>17325</v>
      </c>
    </row>
    <row r="296" spans="1:11" s="421" customFormat="1" ht="17.25" customHeight="1">
      <c r="A296" s="556" t="str">
        <f t="shared" si="33"/>
        <v>О.</v>
      </c>
      <c r="B296" s="557" t="s">
        <v>601</v>
      </c>
      <c r="C296" s="569"/>
      <c r="D296" s="573"/>
      <c r="E296" s="574" t="s">
        <v>1435</v>
      </c>
      <c r="F296" s="561" t="s">
        <v>777</v>
      </c>
      <c r="G296" s="599"/>
      <c r="H296" s="677">
        <f t="shared" si="34"/>
        <v>24956.2467</v>
      </c>
      <c r="I296" s="717">
        <f t="shared" si="31"/>
        <v>24956.2467</v>
      </c>
      <c r="J296" s="571">
        <f t="shared" si="32"/>
        <v>29947.496039999998</v>
      </c>
      <c r="K296" s="717">
        <v>23100</v>
      </c>
    </row>
    <row r="297" spans="1:11" s="421" customFormat="1" ht="17.25" customHeight="1">
      <c r="A297" s="556" t="str">
        <f t="shared" si="33"/>
        <v>О.</v>
      </c>
      <c r="B297" s="557" t="s">
        <v>602</v>
      </c>
      <c r="C297" s="569"/>
      <c r="D297" s="573"/>
      <c r="E297" s="574" t="s">
        <v>806</v>
      </c>
      <c r="F297" s="561" t="s">
        <v>777</v>
      </c>
      <c r="G297" s="599"/>
      <c r="H297" s="677">
        <f t="shared" si="34"/>
        <v>31195.308375</v>
      </c>
      <c r="I297" s="717">
        <f t="shared" si="31"/>
        <v>31195.308375</v>
      </c>
      <c r="J297" s="571">
        <f t="shared" si="32"/>
        <v>37434.37005</v>
      </c>
      <c r="K297" s="717">
        <v>28875</v>
      </c>
    </row>
    <row r="298" spans="1:11" s="421" customFormat="1" ht="17.25" customHeight="1">
      <c r="A298" s="556"/>
      <c r="B298" s="557"/>
      <c r="C298" s="569"/>
      <c r="D298" s="573"/>
      <c r="E298" s="574" t="s">
        <v>807</v>
      </c>
      <c r="F298" s="561"/>
      <c r="G298" s="562"/>
      <c r="H298" s="677"/>
      <c r="I298" s="717"/>
      <c r="J298" s="571"/>
      <c r="K298" s="717"/>
    </row>
    <row r="299" spans="1:11" s="421" customFormat="1" ht="17.25" customHeight="1">
      <c r="A299" s="556" t="str">
        <f>+A297</f>
        <v>О.</v>
      </c>
      <c r="B299" s="557" t="s">
        <v>603</v>
      </c>
      <c r="C299" s="569"/>
      <c r="D299" s="573"/>
      <c r="E299" s="574" t="s">
        <v>1433</v>
      </c>
      <c r="F299" s="561" t="s">
        <v>766</v>
      </c>
      <c r="G299" s="599"/>
      <c r="H299" s="677">
        <f t="shared" si="34"/>
        <v>1247.812335</v>
      </c>
      <c r="I299" s="717">
        <f t="shared" si="31"/>
        <v>1247.812335</v>
      </c>
      <c r="J299" s="571">
        <f t="shared" si="32"/>
        <v>1497.374802</v>
      </c>
      <c r="K299" s="717">
        <v>1155</v>
      </c>
    </row>
    <row r="300" spans="1:11" s="421" customFormat="1" ht="17.25" customHeight="1">
      <c r="A300" s="556" t="str">
        <f t="shared" si="33"/>
        <v>О.</v>
      </c>
      <c r="B300" s="557" t="s">
        <v>604</v>
      </c>
      <c r="C300" s="569"/>
      <c r="D300" s="573"/>
      <c r="E300" s="574" t="s">
        <v>1434</v>
      </c>
      <c r="F300" s="561" t="s">
        <v>766</v>
      </c>
      <c r="G300" s="599"/>
      <c r="H300" s="677">
        <f t="shared" si="34"/>
        <v>1871.178324</v>
      </c>
      <c r="I300" s="717">
        <f t="shared" si="31"/>
        <v>1871.178324</v>
      </c>
      <c r="J300" s="571">
        <f t="shared" si="32"/>
        <v>2245.4139888</v>
      </c>
      <c r="K300" s="717">
        <v>1732</v>
      </c>
    </row>
    <row r="301" spans="1:11" s="421" customFormat="1" ht="17.25" customHeight="1">
      <c r="A301" s="556" t="str">
        <f t="shared" si="33"/>
        <v>О.</v>
      </c>
      <c r="B301" s="557" t="s">
        <v>606</v>
      </c>
      <c r="C301" s="569"/>
      <c r="D301" s="573"/>
      <c r="E301" s="574" t="s">
        <v>1435</v>
      </c>
      <c r="F301" s="561" t="s">
        <v>766</v>
      </c>
      <c r="G301" s="599"/>
      <c r="H301" s="677">
        <f t="shared" si="34"/>
        <v>2495.62467</v>
      </c>
      <c r="I301" s="717">
        <f t="shared" si="31"/>
        <v>2495.62467</v>
      </c>
      <c r="J301" s="571">
        <f t="shared" si="32"/>
        <v>2994.749604</v>
      </c>
      <c r="K301" s="717">
        <v>2310</v>
      </c>
    </row>
    <row r="302" spans="1:11" s="421" customFormat="1" ht="17.25" customHeight="1">
      <c r="A302" s="556" t="str">
        <f t="shared" si="33"/>
        <v>О.</v>
      </c>
      <c r="B302" s="557" t="s">
        <v>609</v>
      </c>
      <c r="C302" s="569"/>
      <c r="D302" s="573"/>
      <c r="E302" s="574" t="s">
        <v>806</v>
      </c>
      <c r="F302" s="561" t="s">
        <v>766</v>
      </c>
      <c r="G302" s="599"/>
      <c r="H302" s="677">
        <f t="shared" si="34"/>
        <v>3120.071016</v>
      </c>
      <c r="I302" s="717">
        <f t="shared" si="31"/>
        <v>3120.071016</v>
      </c>
      <c r="J302" s="571">
        <f t="shared" si="32"/>
        <v>3744.0852191999998</v>
      </c>
      <c r="K302" s="717">
        <v>2888</v>
      </c>
    </row>
    <row r="303" spans="1:10" s="421" customFormat="1" ht="17.25" customHeight="1">
      <c r="A303" s="659"/>
      <c r="B303" s="741"/>
      <c r="C303" s="577"/>
      <c r="D303" s="578"/>
      <c r="E303" s="660"/>
      <c r="F303" s="611"/>
      <c r="G303" s="620"/>
      <c r="H303" s="621"/>
      <c r="I303" s="583"/>
      <c r="J303" s="584"/>
    </row>
    <row r="304" spans="1:10" s="421" customFormat="1" ht="19.5" customHeight="1" thickBot="1">
      <c r="A304" s="848" t="s">
        <v>1436</v>
      </c>
      <c r="B304" s="849"/>
      <c r="C304" s="732"/>
      <c r="D304" s="733"/>
      <c r="E304" s="742" t="s">
        <v>808</v>
      </c>
      <c r="F304" s="652"/>
      <c r="G304" s="653"/>
      <c r="H304" s="654"/>
      <c r="I304" s="734"/>
      <c r="J304" s="735"/>
    </row>
    <row r="305" spans="1:10" s="421" customFormat="1" ht="17.25" customHeight="1">
      <c r="A305" s="659"/>
      <c r="B305" s="743"/>
      <c r="C305" s="736"/>
      <c r="D305" s="737"/>
      <c r="E305" s="744"/>
      <c r="F305" s="603"/>
      <c r="G305" s="657"/>
      <c r="H305" s="638"/>
      <c r="I305" s="738"/>
      <c r="J305" s="739"/>
    </row>
    <row r="306" spans="1:11" s="421" customFormat="1" ht="17.25" customHeight="1">
      <c r="A306" s="556" t="str">
        <f>+A304</f>
        <v>П.</v>
      </c>
      <c r="B306" s="745" t="s">
        <v>588</v>
      </c>
      <c r="C306" s="569"/>
      <c r="D306" s="573"/>
      <c r="E306" s="574" t="s">
        <v>809</v>
      </c>
      <c r="F306" s="746" t="s">
        <v>597</v>
      </c>
      <c r="G306" s="747"/>
      <c r="H306" s="677">
        <f>+K306*$K$3</f>
        <v>59419.635</v>
      </c>
      <c r="I306" s="717">
        <f aca="true" t="shared" si="35" ref="I306:I322">+G306+H306</f>
        <v>59419.635</v>
      </c>
      <c r="J306" s="571">
        <f aca="true" t="shared" si="36" ref="J306:J322">+$I306*$J$5</f>
        <v>71303.562</v>
      </c>
      <c r="K306" s="748">
        <v>55000</v>
      </c>
    </row>
    <row r="307" spans="1:11" s="421" customFormat="1" ht="17.25" customHeight="1">
      <c r="A307" s="556" t="str">
        <f>+A306</f>
        <v>П.</v>
      </c>
      <c r="B307" s="745" t="s">
        <v>590</v>
      </c>
      <c r="C307" s="569"/>
      <c r="D307" s="573"/>
      <c r="E307" s="574" t="s">
        <v>810</v>
      </c>
      <c r="F307" s="746" t="s">
        <v>811</v>
      </c>
      <c r="G307" s="599"/>
      <c r="H307" s="677">
        <f>+'[1]Анализа_радник'!J4</f>
        <v>749.6750432524137</v>
      </c>
      <c r="I307" s="717">
        <f t="shared" si="35"/>
        <v>749.6750432524137</v>
      </c>
      <c r="J307" s="571">
        <f t="shared" si="36"/>
        <v>899.6100519028964</v>
      </c>
      <c r="K307" s="659"/>
    </row>
    <row r="308" spans="1:11" s="421" customFormat="1" ht="17.25" customHeight="1">
      <c r="A308" s="556" t="str">
        <f aca="true" t="shared" si="37" ref="A308:A322">+A307</f>
        <v>П.</v>
      </c>
      <c r="B308" s="745" t="s">
        <v>593</v>
      </c>
      <c r="C308" s="569"/>
      <c r="D308" s="573"/>
      <c r="E308" s="574" t="s">
        <v>1437</v>
      </c>
      <c r="F308" s="746" t="s">
        <v>811</v>
      </c>
      <c r="G308" s="599"/>
      <c r="H308" s="677">
        <f>+'[1]Анализа_радник'!J6</f>
        <v>1553.8719078322752</v>
      </c>
      <c r="I308" s="717">
        <f t="shared" si="35"/>
        <v>1553.8719078322752</v>
      </c>
      <c r="J308" s="739">
        <f t="shared" si="36"/>
        <v>1864.64628939873</v>
      </c>
      <c r="K308" s="659"/>
    </row>
    <row r="309" spans="1:11" s="421" customFormat="1" ht="17.25" customHeight="1">
      <c r="A309" s="556" t="str">
        <f t="shared" si="37"/>
        <v>П.</v>
      </c>
      <c r="B309" s="745" t="s">
        <v>595</v>
      </c>
      <c r="C309" s="569"/>
      <c r="D309" s="573"/>
      <c r="E309" s="574" t="s">
        <v>812</v>
      </c>
      <c r="F309" s="746" t="s">
        <v>811</v>
      </c>
      <c r="G309" s="599"/>
      <c r="H309" s="677">
        <f>+'[1]Анализа_радник'!J10</f>
        <v>2439.85150440331</v>
      </c>
      <c r="I309" s="717">
        <f t="shared" si="35"/>
        <v>2439.85150440331</v>
      </c>
      <c r="J309" s="571">
        <f t="shared" si="36"/>
        <v>2927.821805283972</v>
      </c>
      <c r="K309" s="659"/>
    </row>
    <row r="310" spans="1:11" s="421" customFormat="1" ht="17.25" customHeight="1">
      <c r="A310" s="556" t="str">
        <f t="shared" si="37"/>
        <v>П.</v>
      </c>
      <c r="B310" s="745" t="s">
        <v>598</v>
      </c>
      <c r="C310" s="569"/>
      <c r="D310" s="573"/>
      <c r="E310" s="574" t="s">
        <v>813</v>
      </c>
      <c r="F310" s="746" t="s">
        <v>811</v>
      </c>
      <c r="G310" s="599"/>
      <c r="H310" s="677">
        <f>+'[1]Анализа_радник'!J12</f>
        <v>3046.4067666711717</v>
      </c>
      <c r="I310" s="717">
        <f t="shared" si="35"/>
        <v>3046.4067666711717</v>
      </c>
      <c r="J310" s="571">
        <f t="shared" si="36"/>
        <v>3655.688120005406</v>
      </c>
      <c r="K310" s="659"/>
    </row>
    <row r="311" spans="1:11" s="421" customFormat="1" ht="30.75" customHeight="1">
      <c r="A311" s="556" t="str">
        <f t="shared" si="37"/>
        <v>П.</v>
      </c>
      <c r="B311" s="745" t="s">
        <v>600</v>
      </c>
      <c r="C311" s="569"/>
      <c r="D311" s="573"/>
      <c r="E311" s="749" t="s">
        <v>814</v>
      </c>
      <c r="F311" s="746" t="s">
        <v>811</v>
      </c>
      <c r="G311" s="599"/>
      <c r="H311" s="677">
        <f>+K311*$K$3</f>
        <v>17825.8905</v>
      </c>
      <c r="I311" s="717">
        <f t="shared" si="35"/>
        <v>17825.8905</v>
      </c>
      <c r="J311" s="571">
        <f t="shared" si="36"/>
        <v>21391.068600000002</v>
      </c>
      <c r="K311" s="748">
        <v>16500</v>
      </c>
    </row>
    <row r="312" spans="1:11" s="421" customFormat="1" ht="17.25" customHeight="1">
      <c r="A312" s="556" t="str">
        <f t="shared" si="37"/>
        <v>П.</v>
      </c>
      <c r="B312" s="745" t="s">
        <v>601</v>
      </c>
      <c r="C312" s="569"/>
      <c r="D312" s="573"/>
      <c r="E312" s="574" t="s">
        <v>815</v>
      </c>
      <c r="F312" s="746" t="s">
        <v>811</v>
      </c>
      <c r="G312" s="599"/>
      <c r="H312" s="677">
        <f>+'[1]12_Механизација'!$H$139</f>
        <v>4856.4352612563625</v>
      </c>
      <c r="I312" s="717">
        <f t="shared" si="35"/>
        <v>4856.4352612563625</v>
      </c>
      <c r="J312" s="708">
        <f t="shared" si="36"/>
        <v>5827.722313507635</v>
      </c>
      <c r="K312" s="659"/>
    </row>
    <row r="313" spans="1:11" s="421" customFormat="1" ht="17.25" customHeight="1">
      <c r="A313" s="556" t="str">
        <f t="shared" si="37"/>
        <v>П.</v>
      </c>
      <c r="B313" s="745" t="s">
        <v>602</v>
      </c>
      <c r="C313" s="569"/>
      <c r="D313" s="573"/>
      <c r="E313" s="672" t="s">
        <v>816</v>
      </c>
      <c r="F313" s="750" t="s">
        <v>811</v>
      </c>
      <c r="G313" s="751"/>
      <c r="H313" s="677">
        <f>+K313*$K$3</f>
        <v>6682.0080450000005</v>
      </c>
      <c r="I313" s="717">
        <f t="shared" si="35"/>
        <v>6682.0080450000005</v>
      </c>
      <c r="J313" s="675">
        <f t="shared" si="36"/>
        <v>8018.409654</v>
      </c>
      <c r="K313" s="748">
        <v>6185</v>
      </c>
    </row>
    <row r="314" spans="1:11" s="421" customFormat="1" ht="17.25" customHeight="1">
      <c r="A314" s="556" t="str">
        <f t="shared" si="37"/>
        <v>П.</v>
      </c>
      <c r="B314" s="745" t="s">
        <v>603</v>
      </c>
      <c r="C314" s="569"/>
      <c r="D314" s="573"/>
      <c r="E314" s="672" t="s">
        <v>817</v>
      </c>
      <c r="F314" s="750" t="s">
        <v>597</v>
      </c>
      <c r="G314" s="751"/>
      <c r="H314" s="677">
        <f aca="true" t="shared" si="38" ref="H314:H322">+K314*$K$3</f>
        <v>372.723165</v>
      </c>
      <c r="I314" s="717">
        <f t="shared" si="35"/>
        <v>372.723165</v>
      </c>
      <c r="J314" s="675">
        <f t="shared" si="36"/>
        <v>447.26779799999997</v>
      </c>
      <c r="K314" s="748">
        <v>345</v>
      </c>
    </row>
    <row r="315" spans="1:11" s="421" customFormat="1" ht="17.25" customHeight="1">
      <c r="A315" s="556" t="str">
        <f t="shared" si="37"/>
        <v>П.</v>
      </c>
      <c r="B315" s="745" t="s">
        <v>604</v>
      </c>
      <c r="C315" s="569"/>
      <c r="D315" s="573"/>
      <c r="E315" s="672" t="s">
        <v>1438</v>
      </c>
      <c r="F315" s="750" t="s">
        <v>773</v>
      </c>
      <c r="G315" s="751"/>
      <c r="H315" s="677">
        <f t="shared" si="38"/>
        <v>10328.21292</v>
      </c>
      <c r="I315" s="717">
        <f t="shared" si="35"/>
        <v>10328.21292</v>
      </c>
      <c r="J315" s="675">
        <f t="shared" si="36"/>
        <v>12393.855504</v>
      </c>
      <c r="K315" s="748">
        <v>9560</v>
      </c>
    </row>
    <row r="316" spans="1:11" s="421" customFormat="1" ht="17.25" customHeight="1">
      <c r="A316" s="556" t="str">
        <f t="shared" si="37"/>
        <v>П.</v>
      </c>
      <c r="B316" s="745" t="s">
        <v>606</v>
      </c>
      <c r="C316" s="569"/>
      <c r="D316" s="573"/>
      <c r="E316" s="672" t="s">
        <v>818</v>
      </c>
      <c r="F316" s="750" t="s">
        <v>597</v>
      </c>
      <c r="G316" s="751"/>
      <c r="H316" s="677">
        <f t="shared" si="38"/>
        <v>14530.80165</v>
      </c>
      <c r="I316" s="717">
        <f t="shared" si="35"/>
        <v>14530.80165</v>
      </c>
      <c r="J316" s="675">
        <f t="shared" si="36"/>
        <v>17436.96198</v>
      </c>
      <c r="K316" s="748">
        <v>13450</v>
      </c>
    </row>
    <row r="317" spans="1:11" s="421" customFormat="1" ht="17.25" customHeight="1">
      <c r="A317" s="556" t="str">
        <f t="shared" si="37"/>
        <v>П.</v>
      </c>
      <c r="B317" s="745" t="s">
        <v>609</v>
      </c>
      <c r="C317" s="569"/>
      <c r="D317" s="573"/>
      <c r="E317" s="672" t="s">
        <v>819</v>
      </c>
      <c r="F317" s="750" t="s">
        <v>676</v>
      </c>
      <c r="G317" s="752"/>
      <c r="H317" s="677">
        <f t="shared" si="38"/>
        <v>745.44633</v>
      </c>
      <c r="I317" s="717">
        <f t="shared" si="35"/>
        <v>745.44633</v>
      </c>
      <c r="J317" s="675">
        <f t="shared" si="36"/>
        <v>894.5355959999999</v>
      </c>
      <c r="K317" s="748">
        <v>690</v>
      </c>
    </row>
    <row r="318" spans="1:11" s="421" customFormat="1" ht="17.25" customHeight="1">
      <c r="A318" s="556" t="str">
        <f t="shared" si="37"/>
        <v>П.</v>
      </c>
      <c r="B318" s="745" t="s">
        <v>611</v>
      </c>
      <c r="C318" s="569"/>
      <c r="D318" s="573"/>
      <c r="E318" s="672" t="s">
        <v>820</v>
      </c>
      <c r="F318" s="750" t="s">
        <v>811</v>
      </c>
      <c r="G318" s="751"/>
      <c r="H318" s="677">
        <f t="shared" si="38"/>
        <v>2970.98175</v>
      </c>
      <c r="I318" s="717">
        <f t="shared" si="35"/>
        <v>2970.98175</v>
      </c>
      <c r="J318" s="675">
        <f t="shared" si="36"/>
        <v>3565.1780999999996</v>
      </c>
      <c r="K318" s="748">
        <v>2750</v>
      </c>
    </row>
    <row r="319" spans="1:11" s="421" customFormat="1" ht="17.25" customHeight="1">
      <c r="A319" s="556" t="str">
        <f t="shared" si="37"/>
        <v>П.</v>
      </c>
      <c r="B319" s="745" t="s">
        <v>621</v>
      </c>
      <c r="C319" s="569"/>
      <c r="D319" s="573"/>
      <c r="E319" s="672" t="s">
        <v>821</v>
      </c>
      <c r="F319" s="670" t="s">
        <v>1079</v>
      </c>
      <c r="G319" s="751"/>
      <c r="H319" s="677">
        <f t="shared" si="38"/>
        <v>372.723165</v>
      </c>
      <c r="I319" s="717">
        <f t="shared" si="35"/>
        <v>372.723165</v>
      </c>
      <c r="J319" s="675">
        <f t="shared" si="36"/>
        <v>447.26779799999997</v>
      </c>
      <c r="K319" s="748">
        <v>345</v>
      </c>
    </row>
    <row r="320" spans="1:11" s="421" customFormat="1" ht="17.25" customHeight="1">
      <c r="A320" s="556" t="str">
        <f t="shared" si="37"/>
        <v>П.</v>
      </c>
      <c r="B320" s="745" t="s">
        <v>622</v>
      </c>
      <c r="C320" s="569"/>
      <c r="D320" s="573"/>
      <c r="E320" s="672" t="s">
        <v>822</v>
      </c>
      <c r="F320" s="670" t="s">
        <v>1079</v>
      </c>
      <c r="G320" s="751"/>
      <c r="H320" s="677">
        <f t="shared" si="38"/>
        <v>594.19635</v>
      </c>
      <c r="I320" s="717">
        <f t="shared" si="35"/>
        <v>594.19635</v>
      </c>
      <c r="J320" s="675">
        <f t="shared" si="36"/>
        <v>713.03562</v>
      </c>
      <c r="K320" s="748">
        <v>550</v>
      </c>
    </row>
    <row r="321" spans="1:11" s="421" customFormat="1" ht="17.25" customHeight="1">
      <c r="A321" s="556" t="str">
        <f t="shared" si="37"/>
        <v>П.</v>
      </c>
      <c r="B321" s="745" t="s">
        <v>623</v>
      </c>
      <c r="C321" s="569"/>
      <c r="D321" s="573"/>
      <c r="E321" s="672" t="s">
        <v>823</v>
      </c>
      <c r="F321" s="670" t="s">
        <v>1079</v>
      </c>
      <c r="G321" s="751"/>
      <c r="H321" s="677">
        <f t="shared" si="38"/>
        <v>546.660642</v>
      </c>
      <c r="I321" s="717">
        <f t="shared" si="35"/>
        <v>546.660642</v>
      </c>
      <c r="J321" s="675">
        <f t="shared" si="36"/>
        <v>655.9927704</v>
      </c>
      <c r="K321" s="748">
        <v>506</v>
      </c>
    </row>
    <row r="322" spans="1:11" s="421" customFormat="1" ht="17.25" customHeight="1">
      <c r="A322" s="556" t="str">
        <f t="shared" si="37"/>
        <v>П.</v>
      </c>
      <c r="B322" s="745" t="s">
        <v>625</v>
      </c>
      <c r="C322" s="569"/>
      <c r="D322" s="573"/>
      <c r="E322" s="672" t="s">
        <v>824</v>
      </c>
      <c r="F322" s="750" t="s">
        <v>825</v>
      </c>
      <c r="G322" s="752"/>
      <c r="H322" s="677">
        <f t="shared" si="38"/>
        <v>475.35708</v>
      </c>
      <c r="I322" s="717">
        <f t="shared" si="35"/>
        <v>475.35708</v>
      </c>
      <c r="J322" s="675">
        <f t="shared" si="36"/>
        <v>570.428496</v>
      </c>
      <c r="K322" s="748">
        <v>440</v>
      </c>
    </row>
    <row r="323" spans="1:11" s="421" customFormat="1" ht="17.25" customHeight="1">
      <c r="A323" s="659"/>
      <c r="B323" s="741"/>
      <c r="C323" s="577"/>
      <c r="D323" s="578"/>
      <c r="E323" s="660"/>
      <c r="F323" s="753"/>
      <c r="G323" s="754"/>
      <c r="H323" s="755"/>
      <c r="I323" s="583"/>
      <c r="J323" s="584"/>
      <c r="K323" s="748"/>
    </row>
    <row r="324" spans="1:10" s="421" customFormat="1" ht="20.25" customHeight="1" thickBot="1">
      <c r="A324" s="842" t="s">
        <v>1439</v>
      </c>
      <c r="B324" s="843"/>
      <c r="C324" s="732"/>
      <c r="D324" s="733"/>
      <c r="E324" s="756" t="s">
        <v>826</v>
      </c>
      <c r="F324" s="652"/>
      <c r="G324" s="653"/>
      <c r="H324" s="654"/>
      <c r="I324" s="734"/>
      <c r="J324" s="735"/>
    </row>
    <row r="325" spans="1:10" s="421" customFormat="1" ht="17.25" customHeight="1">
      <c r="A325" s="659"/>
      <c r="B325" s="692"/>
      <c r="C325" s="736"/>
      <c r="D325" s="737"/>
      <c r="E325" s="757"/>
      <c r="F325" s="603"/>
      <c r="G325" s="657"/>
      <c r="H325" s="638"/>
      <c r="I325" s="738"/>
      <c r="J325" s="739"/>
    </row>
    <row r="326" spans="1:11" s="421" customFormat="1" ht="17.25" customHeight="1">
      <c r="A326" s="556" t="str">
        <f>+A324</f>
        <v>Р.</v>
      </c>
      <c r="B326" s="557" t="s">
        <v>588</v>
      </c>
      <c r="C326" s="569"/>
      <c r="D326" s="573"/>
      <c r="E326" s="574" t="s">
        <v>827</v>
      </c>
      <c r="F326" s="561" t="s">
        <v>766</v>
      </c>
      <c r="G326" s="599"/>
      <c r="H326" s="677">
        <f>+K326*$K$3</f>
        <v>45374.994</v>
      </c>
      <c r="I326" s="717">
        <f aca="true" t="shared" si="39" ref="I326:I345">+G326+H326</f>
        <v>45374.994</v>
      </c>
      <c r="J326" s="571">
        <f aca="true" t="shared" si="40" ref="J326:J345">+$I326*$J$5</f>
        <v>54449.9928</v>
      </c>
      <c r="K326" s="748">
        <v>42000</v>
      </c>
    </row>
    <row r="327" spans="1:11" s="421" customFormat="1" ht="17.25" customHeight="1">
      <c r="A327" s="556" t="str">
        <f>+A326</f>
        <v>Р.</v>
      </c>
      <c r="B327" s="557" t="s">
        <v>590</v>
      </c>
      <c r="C327" s="569"/>
      <c r="D327" s="573"/>
      <c r="E327" s="574" t="s">
        <v>827</v>
      </c>
      <c r="F327" s="561" t="s">
        <v>773</v>
      </c>
      <c r="G327" s="599"/>
      <c r="H327" s="677">
        <f aca="true" t="shared" si="41" ref="H327:H345">+K327*$K$3</f>
        <v>149089.266</v>
      </c>
      <c r="I327" s="717">
        <f t="shared" si="39"/>
        <v>149089.266</v>
      </c>
      <c r="J327" s="571">
        <f t="shared" si="40"/>
        <v>178907.1192</v>
      </c>
      <c r="K327" s="748">
        <v>138000</v>
      </c>
    </row>
    <row r="328" spans="1:11" s="421" customFormat="1" ht="17.25" customHeight="1">
      <c r="A328" s="556" t="str">
        <f aca="true" t="shared" si="42" ref="A328:A345">+A327</f>
        <v>Р.</v>
      </c>
      <c r="B328" s="557" t="s">
        <v>593</v>
      </c>
      <c r="C328" s="569"/>
      <c r="D328" s="573"/>
      <c r="E328" s="574" t="s">
        <v>828</v>
      </c>
      <c r="F328" s="561" t="s">
        <v>766</v>
      </c>
      <c r="G328" s="599"/>
      <c r="H328" s="677">
        <f t="shared" si="41"/>
        <v>7454.4633</v>
      </c>
      <c r="I328" s="717">
        <f t="shared" si="39"/>
        <v>7454.4633</v>
      </c>
      <c r="J328" s="571">
        <f t="shared" si="40"/>
        <v>8945.35596</v>
      </c>
      <c r="K328" s="748">
        <v>6900</v>
      </c>
    </row>
    <row r="329" spans="1:11" s="421" customFormat="1" ht="17.25" customHeight="1">
      <c r="A329" s="556" t="str">
        <f t="shared" si="42"/>
        <v>Р.</v>
      </c>
      <c r="B329" s="557" t="s">
        <v>595</v>
      </c>
      <c r="C329" s="569"/>
      <c r="D329" s="573"/>
      <c r="E329" s="574" t="s">
        <v>828</v>
      </c>
      <c r="F329" s="561" t="s">
        <v>773</v>
      </c>
      <c r="G329" s="599"/>
      <c r="H329" s="677">
        <f t="shared" si="41"/>
        <v>29817.8532</v>
      </c>
      <c r="I329" s="717">
        <f t="shared" si="39"/>
        <v>29817.8532</v>
      </c>
      <c r="J329" s="571">
        <f t="shared" si="40"/>
        <v>35781.42384</v>
      </c>
      <c r="K329" s="748">
        <v>27600</v>
      </c>
    </row>
    <row r="330" spans="1:11" s="421" customFormat="1" ht="17.25" customHeight="1">
      <c r="A330" s="556" t="str">
        <f t="shared" si="42"/>
        <v>Р.</v>
      </c>
      <c r="B330" s="557" t="s">
        <v>598</v>
      </c>
      <c r="C330" s="569"/>
      <c r="D330" s="573"/>
      <c r="E330" s="574" t="s">
        <v>829</v>
      </c>
      <c r="F330" s="561" t="s">
        <v>766</v>
      </c>
      <c r="G330" s="599"/>
      <c r="H330" s="677">
        <f t="shared" si="41"/>
        <v>14908.9266</v>
      </c>
      <c r="I330" s="717">
        <f t="shared" si="39"/>
        <v>14908.9266</v>
      </c>
      <c r="J330" s="571">
        <f t="shared" si="40"/>
        <v>17890.71192</v>
      </c>
      <c r="K330" s="748">
        <v>13800</v>
      </c>
    </row>
    <row r="331" spans="1:11" s="421" customFormat="1" ht="17.25" customHeight="1">
      <c r="A331" s="556" t="str">
        <f t="shared" si="42"/>
        <v>Р.</v>
      </c>
      <c r="B331" s="557" t="s">
        <v>600</v>
      </c>
      <c r="C331" s="569"/>
      <c r="D331" s="573"/>
      <c r="E331" s="574" t="s">
        <v>829</v>
      </c>
      <c r="F331" s="561" t="s">
        <v>773</v>
      </c>
      <c r="G331" s="599"/>
      <c r="H331" s="677">
        <f t="shared" si="41"/>
        <v>59635.7064</v>
      </c>
      <c r="I331" s="717">
        <f t="shared" si="39"/>
        <v>59635.7064</v>
      </c>
      <c r="J331" s="571">
        <f t="shared" si="40"/>
        <v>71562.84768</v>
      </c>
      <c r="K331" s="748">
        <v>55200</v>
      </c>
    </row>
    <row r="332" spans="1:11" s="421" customFormat="1" ht="17.25" customHeight="1">
      <c r="A332" s="556" t="str">
        <f t="shared" si="42"/>
        <v>Р.</v>
      </c>
      <c r="B332" s="557" t="s">
        <v>601</v>
      </c>
      <c r="C332" s="569"/>
      <c r="D332" s="573"/>
      <c r="E332" s="574" t="s">
        <v>830</v>
      </c>
      <c r="F332" s="561" t="s">
        <v>766</v>
      </c>
      <c r="G332" s="599"/>
      <c r="H332" s="677">
        <f t="shared" si="41"/>
        <v>22363.389900000002</v>
      </c>
      <c r="I332" s="717">
        <f t="shared" si="39"/>
        <v>22363.389900000002</v>
      </c>
      <c r="J332" s="571">
        <f t="shared" si="40"/>
        <v>26836.067880000002</v>
      </c>
      <c r="K332" s="748">
        <v>20700</v>
      </c>
    </row>
    <row r="333" spans="1:11" s="421" customFormat="1" ht="17.25" customHeight="1">
      <c r="A333" s="556" t="str">
        <f t="shared" si="42"/>
        <v>Р.</v>
      </c>
      <c r="B333" s="557" t="s">
        <v>602</v>
      </c>
      <c r="C333" s="569"/>
      <c r="D333" s="573"/>
      <c r="E333" s="574" t="s">
        <v>830</v>
      </c>
      <c r="F333" s="561" t="s">
        <v>773</v>
      </c>
      <c r="G333" s="599"/>
      <c r="H333" s="677">
        <f t="shared" si="41"/>
        <v>74544.633</v>
      </c>
      <c r="I333" s="717">
        <f t="shared" si="39"/>
        <v>74544.633</v>
      </c>
      <c r="J333" s="571">
        <f t="shared" si="40"/>
        <v>89453.5596</v>
      </c>
      <c r="K333" s="748">
        <v>69000</v>
      </c>
    </row>
    <row r="334" spans="1:11" s="421" customFormat="1" ht="17.25" customHeight="1">
      <c r="A334" s="556" t="str">
        <f t="shared" si="42"/>
        <v>Р.</v>
      </c>
      <c r="B334" s="557" t="s">
        <v>603</v>
      </c>
      <c r="C334" s="569"/>
      <c r="D334" s="573"/>
      <c r="E334" s="574" t="s">
        <v>831</v>
      </c>
      <c r="F334" s="561" t="s">
        <v>773</v>
      </c>
      <c r="G334" s="599"/>
      <c r="H334" s="677">
        <f t="shared" si="41"/>
        <v>29817.8532</v>
      </c>
      <c r="I334" s="717">
        <f t="shared" si="39"/>
        <v>29817.8532</v>
      </c>
      <c r="J334" s="571">
        <f t="shared" si="40"/>
        <v>35781.42384</v>
      </c>
      <c r="K334" s="748">
        <v>27600</v>
      </c>
    </row>
    <row r="335" spans="1:11" s="421" customFormat="1" ht="17.25" customHeight="1">
      <c r="A335" s="556" t="str">
        <f t="shared" si="42"/>
        <v>Р.</v>
      </c>
      <c r="B335" s="557" t="s">
        <v>604</v>
      </c>
      <c r="C335" s="569"/>
      <c r="D335" s="573"/>
      <c r="E335" s="574" t="s">
        <v>832</v>
      </c>
      <c r="F335" s="561" t="s">
        <v>766</v>
      </c>
      <c r="G335" s="599"/>
      <c r="H335" s="677">
        <f t="shared" si="41"/>
        <v>2981.78532</v>
      </c>
      <c r="I335" s="717">
        <f t="shared" si="39"/>
        <v>2981.78532</v>
      </c>
      <c r="J335" s="571">
        <f t="shared" si="40"/>
        <v>3578.1423839999998</v>
      </c>
      <c r="K335" s="748">
        <v>2760</v>
      </c>
    </row>
    <row r="336" spans="1:11" s="421" customFormat="1" ht="17.25" customHeight="1">
      <c r="A336" s="556" t="str">
        <f t="shared" si="42"/>
        <v>Р.</v>
      </c>
      <c r="B336" s="557" t="s">
        <v>606</v>
      </c>
      <c r="C336" s="569"/>
      <c r="D336" s="573"/>
      <c r="E336" s="574" t="s">
        <v>832</v>
      </c>
      <c r="F336" s="561" t="s">
        <v>773</v>
      </c>
      <c r="G336" s="599"/>
      <c r="H336" s="677">
        <f t="shared" si="41"/>
        <v>7454.4633</v>
      </c>
      <c r="I336" s="717">
        <f t="shared" si="39"/>
        <v>7454.4633</v>
      </c>
      <c r="J336" s="571">
        <f t="shared" si="40"/>
        <v>8945.35596</v>
      </c>
      <c r="K336" s="748">
        <v>6900</v>
      </c>
    </row>
    <row r="337" spans="1:11" s="421" customFormat="1" ht="17.25" customHeight="1">
      <c r="A337" s="556" t="str">
        <f t="shared" si="42"/>
        <v>Р.</v>
      </c>
      <c r="B337" s="557" t="s">
        <v>609</v>
      </c>
      <c r="C337" s="569"/>
      <c r="D337" s="573"/>
      <c r="E337" s="574" t="s">
        <v>833</v>
      </c>
      <c r="F337" s="561" t="s">
        <v>766</v>
      </c>
      <c r="G337" s="599"/>
      <c r="H337" s="677">
        <f t="shared" si="41"/>
        <v>29817.8532</v>
      </c>
      <c r="I337" s="717">
        <f t="shared" si="39"/>
        <v>29817.8532</v>
      </c>
      <c r="J337" s="571">
        <f t="shared" si="40"/>
        <v>35781.42384</v>
      </c>
      <c r="K337" s="748">
        <v>27600</v>
      </c>
    </row>
    <row r="338" spans="1:11" s="421" customFormat="1" ht="17.25" customHeight="1">
      <c r="A338" s="556" t="str">
        <f t="shared" si="42"/>
        <v>Р.</v>
      </c>
      <c r="B338" s="557" t="s">
        <v>611</v>
      </c>
      <c r="C338" s="569"/>
      <c r="D338" s="573"/>
      <c r="E338" s="574" t="s">
        <v>834</v>
      </c>
      <c r="F338" s="561" t="s">
        <v>773</v>
      </c>
      <c r="G338" s="599"/>
      <c r="H338" s="677">
        <f t="shared" si="41"/>
        <v>298178.532</v>
      </c>
      <c r="I338" s="717">
        <f t="shared" si="39"/>
        <v>298178.532</v>
      </c>
      <c r="J338" s="571">
        <f t="shared" si="40"/>
        <v>357814.2384</v>
      </c>
      <c r="K338" s="748">
        <v>276000</v>
      </c>
    </row>
    <row r="339" spans="1:11" s="421" customFormat="1" ht="17.25" customHeight="1">
      <c r="A339" s="556" t="str">
        <f t="shared" si="42"/>
        <v>Р.</v>
      </c>
      <c r="B339" s="557" t="s">
        <v>621</v>
      </c>
      <c r="C339" s="569"/>
      <c r="D339" s="573"/>
      <c r="E339" s="574" t="s">
        <v>835</v>
      </c>
      <c r="F339" s="561" t="s">
        <v>766</v>
      </c>
      <c r="G339" s="599"/>
      <c r="H339" s="677">
        <f t="shared" si="41"/>
        <v>52181.2431</v>
      </c>
      <c r="I339" s="717">
        <f t="shared" si="39"/>
        <v>52181.2431</v>
      </c>
      <c r="J339" s="571">
        <f t="shared" si="40"/>
        <v>62617.49172</v>
      </c>
      <c r="K339" s="748">
        <v>48300</v>
      </c>
    </row>
    <row r="340" spans="1:11" s="421" customFormat="1" ht="17.25" customHeight="1">
      <c r="A340" s="556" t="str">
        <f t="shared" si="42"/>
        <v>Р.</v>
      </c>
      <c r="B340" s="557" t="s">
        <v>622</v>
      </c>
      <c r="C340" s="569"/>
      <c r="D340" s="573"/>
      <c r="E340" s="574" t="s">
        <v>835</v>
      </c>
      <c r="F340" s="561" t="s">
        <v>773</v>
      </c>
      <c r="G340" s="599"/>
      <c r="H340" s="677">
        <f t="shared" si="41"/>
        <v>521812.431</v>
      </c>
      <c r="I340" s="717">
        <f t="shared" si="39"/>
        <v>521812.431</v>
      </c>
      <c r="J340" s="571">
        <f t="shared" si="40"/>
        <v>626174.9171999999</v>
      </c>
      <c r="K340" s="748">
        <v>483000</v>
      </c>
    </row>
    <row r="341" spans="1:11" s="421" customFormat="1" ht="29.25" customHeight="1">
      <c r="A341" s="556" t="str">
        <f t="shared" si="42"/>
        <v>Р.</v>
      </c>
      <c r="B341" s="557" t="s">
        <v>623</v>
      </c>
      <c r="C341" s="569"/>
      <c r="D341" s="573"/>
      <c r="E341" s="626" t="s">
        <v>836</v>
      </c>
      <c r="F341" s="561" t="s">
        <v>773</v>
      </c>
      <c r="G341" s="599"/>
      <c r="H341" s="677">
        <f t="shared" si="41"/>
        <v>596357.064</v>
      </c>
      <c r="I341" s="717">
        <f t="shared" si="39"/>
        <v>596357.064</v>
      </c>
      <c r="J341" s="571">
        <f t="shared" si="40"/>
        <v>715628.4768</v>
      </c>
      <c r="K341" s="748">
        <v>552000</v>
      </c>
    </row>
    <row r="342" spans="1:11" s="421" customFormat="1" ht="29.25" customHeight="1">
      <c r="A342" s="556" t="str">
        <f t="shared" si="42"/>
        <v>Р.</v>
      </c>
      <c r="B342" s="557" t="s">
        <v>625</v>
      </c>
      <c r="C342" s="569"/>
      <c r="D342" s="573"/>
      <c r="E342" s="626" t="s">
        <v>836</v>
      </c>
      <c r="F342" s="561" t="s">
        <v>773</v>
      </c>
      <c r="G342" s="599"/>
      <c r="H342" s="677">
        <f t="shared" si="41"/>
        <v>894535.596</v>
      </c>
      <c r="I342" s="717">
        <f t="shared" si="39"/>
        <v>894535.596</v>
      </c>
      <c r="J342" s="571">
        <f t="shared" si="40"/>
        <v>1073442.7152</v>
      </c>
      <c r="K342" s="748">
        <v>828000</v>
      </c>
    </row>
    <row r="343" spans="1:11" s="421" customFormat="1" ht="17.25" customHeight="1">
      <c r="A343" s="556" t="str">
        <f t="shared" si="42"/>
        <v>Р.</v>
      </c>
      <c r="B343" s="557" t="s">
        <v>627</v>
      </c>
      <c r="C343" s="569"/>
      <c r="D343" s="573"/>
      <c r="E343" s="574" t="s">
        <v>1440</v>
      </c>
      <c r="F343" s="561" t="s">
        <v>773</v>
      </c>
      <c r="G343" s="599"/>
      <c r="H343" s="677">
        <f t="shared" si="41"/>
        <v>149089.266</v>
      </c>
      <c r="I343" s="717">
        <f t="shared" si="39"/>
        <v>149089.266</v>
      </c>
      <c r="J343" s="571">
        <f t="shared" si="40"/>
        <v>178907.1192</v>
      </c>
      <c r="K343" s="748">
        <v>138000</v>
      </c>
    </row>
    <row r="344" spans="1:11" s="421" customFormat="1" ht="17.25" customHeight="1">
      <c r="A344" s="556" t="str">
        <f t="shared" si="42"/>
        <v>Р.</v>
      </c>
      <c r="B344" s="557" t="s">
        <v>629</v>
      </c>
      <c r="C344" s="569"/>
      <c r="D344" s="573"/>
      <c r="E344" s="574" t="s">
        <v>837</v>
      </c>
      <c r="F344" s="561" t="s">
        <v>773</v>
      </c>
      <c r="G344" s="599"/>
      <c r="H344" s="677">
        <f t="shared" si="41"/>
        <v>298178.532</v>
      </c>
      <c r="I344" s="717">
        <f t="shared" si="39"/>
        <v>298178.532</v>
      </c>
      <c r="J344" s="571">
        <f t="shared" si="40"/>
        <v>357814.2384</v>
      </c>
      <c r="K344" s="748">
        <v>276000</v>
      </c>
    </row>
    <row r="345" spans="1:11" s="421" customFormat="1" ht="17.25" customHeight="1">
      <c r="A345" s="556" t="str">
        <f t="shared" si="42"/>
        <v>Р.</v>
      </c>
      <c r="B345" s="557" t="s">
        <v>630</v>
      </c>
      <c r="C345" s="569"/>
      <c r="D345" s="573"/>
      <c r="E345" s="574" t="s">
        <v>838</v>
      </c>
      <c r="F345" s="561" t="s">
        <v>773</v>
      </c>
      <c r="G345" s="599"/>
      <c r="H345" s="677">
        <f t="shared" si="41"/>
        <v>119271.4128</v>
      </c>
      <c r="I345" s="717">
        <f t="shared" si="39"/>
        <v>119271.4128</v>
      </c>
      <c r="J345" s="571">
        <f t="shared" si="40"/>
        <v>143125.69536</v>
      </c>
      <c r="K345" s="748">
        <v>110400</v>
      </c>
    </row>
    <row r="346" spans="1:11" s="421" customFormat="1" ht="17.25" customHeight="1">
      <c r="A346" s="659"/>
      <c r="B346" s="619"/>
      <c r="C346" s="577"/>
      <c r="D346" s="578"/>
      <c r="E346" s="660"/>
      <c r="F346" s="611"/>
      <c r="G346" s="620"/>
      <c r="H346" s="621"/>
      <c r="I346" s="583"/>
      <c r="J346" s="584"/>
      <c r="K346" s="659"/>
    </row>
    <row r="347" spans="1:11" s="421" customFormat="1" ht="19.5" customHeight="1" thickBot="1">
      <c r="A347" s="848" t="s">
        <v>1441</v>
      </c>
      <c r="B347" s="849"/>
      <c r="C347" s="732"/>
      <c r="D347" s="733"/>
      <c r="E347" s="742" t="s">
        <v>839</v>
      </c>
      <c r="F347" s="652"/>
      <c r="G347" s="653"/>
      <c r="H347" s="654"/>
      <c r="I347" s="734"/>
      <c r="J347" s="735"/>
      <c r="K347" s="659"/>
    </row>
    <row r="348" spans="1:11" s="421" customFormat="1" ht="16.5" customHeight="1">
      <c r="A348" s="659"/>
      <c r="B348" s="576"/>
      <c r="C348" s="577"/>
      <c r="D348" s="578"/>
      <c r="E348" s="660"/>
      <c r="F348" s="611"/>
      <c r="G348" s="620"/>
      <c r="H348" s="621"/>
      <c r="I348" s="583"/>
      <c r="J348" s="584"/>
      <c r="K348" s="659"/>
    </row>
    <row r="349" spans="1:11" s="421" customFormat="1" ht="30" customHeight="1">
      <c r="A349" s="556" t="str">
        <f>+A347</f>
        <v>С.</v>
      </c>
      <c r="B349" s="745" t="s">
        <v>588</v>
      </c>
      <c r="C349" s="569"/>
      <c r="D349" s="573"/>
      <c r="E349" s="626" t="s">
        <v>1442</v>
      </c>
      <c r="F349" s="561" t="s">
        <v>766</v>
      </c>
      <c r="G349" s="599"/>
      <c r="H349" s="679">
        <f>+'[1]12_Механизација'!$F$166</f>
        <v>9352.19229277999</v>
      </c>
      <c r="I349" s="717">
        <f>+G349+H349</f>
        <v>9352.19229277999</v>
      </c>
      <c r="J349" s="571">
        <f>+$I349*$J$5</f>
        <v>11222.630751335988</v>
      </c>
      <c r="K349" s="748"/>
    </row>
    <row r="350" spans="1:11" s="421" customFormat="1" ht="30" customHeight="1">
      <c r="A350" s="556" t="str">
        <f>+A349</f>
        <v>С.</v>
      </c>
      <c r="B350" s="745" t="s">
        <v>590</v>
      </c>
      <c r="C350" s="569"/>
      <c r="D350" s="573"/>
      <c r="E350" s="626" t="s">
        <v>1443</v>
      </c>
      <c r="F350" s="561" t="s">
        <v>840</v>
      </c>
      <c r="G350" s="599"/>
      <c r="H350" s="679">
        <f>+'[1]12_Механизација'!$F$169</f>
        <v>1039.1324769755545</v>
      </c>
      <c r="I350" s="717">
        <f>+G350+H350</f>
        <v>1039.1324769755545</v>
      </c>
      <c r="J350" s="571">
        <f>+$I350*$J$5</f>
        <v>1246.9589723706654</v>
      </c>
      <c r="K350" s="748"/>
    </row>
    <row r="351" spans="1:11" s="421" customFormat="1" ht="16.5" customHeight="1">
      <c r="A351" s="556" t="str">
        <f>+A350</f>
        <v>С.</v>
      </c>
      <c r="B351" s="745" t="s">
        <v>593</v>
      </c>
      <c r="C351" s="569"/>
      <c r="D351" s="573"/>
      <c r="E351" s="626" t="s">
        <v>1444</v>
      </c>
      <c r="F351" s="561" t="s">
        <v>841</v>
      </c>
      <c r="G351" s="599"/>
      <c r="H351" s="679">
        <f>+'[1]2_Земљани'!$Z$38</f>
        <v>787.1587954150343</v>
      </c>
      <c r="I351" s="717">
        <f>+G351+H351</f>
        <v>787.1587954150343</v>
      </c>
      <c r="J351" s="571">
        <f>+$I351*$J$5</f>
        <v>944.5905544980411</v>
      </c>
      <c r="K351" s="748"/>
    </row>
    <row r="352" spans="1:11" s="421" customFormat="1" ht="16.5" customHeight="1">
      <c r="A352" s="556" t="str">
        <f>+A351</f>
        <v>С.</v>
      </c>
      <c r="B352" s="745" t="s">
        <v>595</v>
      </c>
      <c r="C352" s="569"/>
      <c r="D352" s="573"/>
      <c r="E352" s="626" t="s">
        <v>842</v>
      </c>
      <c r="F352" s="561" t="s">
        <v>1102</v>
      </c>
      <c r="G352" s="599"/>
      <c r="H352" s="677">
        <f>+K352*$K$3</f>
        <v>1485.490875</v>
      </c>
      <c r="I352" s="717">
        <f>+G352+H352</f>
        <v>1485.490875</v>
      </c>
      <c r="J352" s="571">
        <f>+$I352*$J$5</f>
        <v>1782.5890499999998</v>
      </c>
      <c r="K352" s="748">
        <v>1375</v>
      </c>
    </row>
    <row r="353" spans="1:11" s="421" customFormat="1" ht="16.5" customHeight="1">
      <c r="A353" s="556" t="str">
        <f>+A352</f>
        <v>С.</v>
      </c>
      <c r="B353" s="745" t="s">
        <v>598</v>
      </c>
      <c r="C353" s="569"/>
      <c r="D353" s="573"/>
      <c r="E353" s="626" t="s">
        <v>842</v>
      </c>
      <c r="F353" s="561" t="s">
        <v>766</v>
      </c>
      <c r="G353" s="599"/>
      <c r="H353" s="677">
        <f>+K353*$K$3</f>
        <v>5198.677884</v>
      </c>
      <c r="I353" s="717">
        <f>+G353+H353</f>
        <v>5198.677884</v>
      </c>
      <c r="J353" s="571">
        <f>+$I353*$J$5</f>
        <v>6238.4134607999995</v>
      </c>
      <c r="K353" s="748">
        <v>4812</v>
      </c>
    </row>
    <row r="354" spans="1:10" s="421" customFormat="1" ht="16.5" customHeight="1">
      <c r="A354" s="659"/>
      <c r="B354" s="619"/>
      <c r="C354" s="577"/>
      <c r="D354" s="578"/>
      <c r="E354" s="660"/>
      <c r="F354" s="611"/>
      <c r="G354" s="620"/>
      <c r="H354" s="621"/>
      <c r="I354" s="583"/>
      <c r="J354" s="584"/>
    </row>
    <row r="355" spans="1:10" s="421" customFormat="1" ht="19.5" customHeight="1" thickBot="1">
      <c r="A355" s="842" t="s">
        <v>1445</v>
      </c>
      <c r="B355" s="843"/>
      <c r="C355" s="732"/>
      <c r="D355" s="733"/>
      <c r="E355" s="758" t="s">
        <v>1446</v>
      </c>
      <c r="F355" s="652"/>
      <c r="G355" s="653"/>
      <c r="H355" s="654"/>
      <c r="I355" s="734"/>
      <c r="J355" s="735"/>
    </row>
    <row r="356" spans="1:10" s="421" customFormat="1" ht="17.25" customHeight="1">
      <c r="A356" s="659"/>
      <c r="B356" s="628"/>
      <c r="C356" s="759"/>
      <c r="D356" s="642"/>
      <c r="E356" s="643"/>
      <c r="F356" s="646"/>
      <c r="G356" s="760"/>
      <c r="H356" s="761"/>
      <c r="I356" s="730"/>
      <c r="J356" s="650"/>
    </row>
    <row r="357" spans="1:10" s="421" customFormat="1" ht="19.5" customHeight="1" thickBot="1">
      <c r="A357" s="842" t="s">
        <v>1447</v>
      </c>
      <c r="B357" s="843"/>
      <c r="C357" s="710"/>
      <c r="D357" s="538"/>
      <c r="E357" s="756" t="s">
        <v>843</v>
      </c>
      <c r="F357" s="762"/>
      <c r="G357" s="613"/>
      <c r="H357" s="712"/>
      <c r="I357" s="763"/>
      <c r="J357" s="764"/>
    </row>
    <row r="358" spans="1:10" s="421" customFormat="1" ht="17.25" customHeight="1">
      <c r="A358" s="659"/>
      <c r="B358" s="661"/>
      <c r="C358" s="636"/>
      <c r="D358" s="591"/>
      <c r="E358" s="757"/>
      <c r="F358" s="765"/>
      <c r="G358" s="663"/>
      <c r="H358" s="664"/>
      <c r="I358" s="766"/>
      <c r="J358" s="767"/>
    </row>
    <row r="359" spans="1:10" s="421" customFormat="1" ht="17.25" customHeight="1">
      <c r="A359" s="556" t="str">
        <f>+A357</f>
        <v>У</v>
      </c>
      <c r="B359" s="557" t="s">
        <v>588</v>
      </c>
      <c r="C359" s="569"/>
      <c r="D359" s="573"/>
      <c r="E359" s="574" t="s">
        <v>844</v>
      </c>
      <c r="F359" s="561" t="s">
        <v>766</v>
      </c>
      <c r="G359" s="599"/>
      <c r="H359" s="679">
        <f>+'[1]Анализа_радник'!$J$12</f>
        <v>3046.4067666711717</v>
      </c>
      <c r="I359" s="717">
        <f>+G359+H359</f>
        <v>3046.4067666711717</v>
      </c>
      <c r="J359" s="571">
        <f aca="true" t="shared" si="43" ref="J359:J368">+$I359*$J$5</f>
        <v>3655.688120005406</v>
      </c>
    </row>
    <row r="360" spans="1:10" s="421" customFormat="1" ht="17.25" customHeight="1">
      <c r="A360" s="556" t="str">
        <f>+A359</f>
        <v>У</v>
      </c>
      <c r="B360" s="557" t="s">
        <v>590</v>
      </c>
      <c r="C360" s="569"/>
      <c r="D360" s="573"/>
      <c r="E360" s="574" t="s">
        <v>845</v>
      </c>
      <c r="F360" s="561" t="s">
        <v>766</v>
      </c>
      <c r="G360" s="599"/>
      <c r="H360" s="679">
        <f>+'[1]Анализа_радник'!$J$10</f>
        <v>2439.85150440331</v>
      </c>
      <c r="I360" s="717">
        <f aca="true" t="shared" si="44" ref="I360:I368">+G360+H360</f>
        <v>2439.85150440331</v>
      </c>
      <c r="J360" s="571">
        <f t="shared" si="43"/>
        <v>2927.821805283972</v>
      </c>
    </row>
    <row r="361" spans="1:10" s="421" customFormat="1" ht="17.25" customHeight="1">
      <c r="A361" s="556" t="str">
        <f aca="true" t="shared" si="45" ref="A361:A368">+A360</f>
        <v>У</v>
      </c>
      <c r="B361" s="557" t="s">
        <v>593</v>
      </c>
      <c r="C361" s="569"/>
      <c r="D361" s="573"/>
      <c r="E361" s="574" t="s">
        <v>846</v>
      </c>
      <c r="F361" s="561" t="s">
        <v>766</v>
      </c>
      <c r="G361" s="599"/>
      <c r="H361" s="679">
        <f>+'[1]Анализа_радник'!$J$10</f>
        <v>2439.85150440331</v>
      </c>
      <c r="I361" s="717">
        <f t="shared" si="44"/>
        <v>2439.85150440331</v>
      </c>
      <c r="J361" s="571">
        <f t="shared" si="43"/>
        <v>2927.821805283972</v>
      </c>
    </row>
    <row r="362" spans="1:10" s="421" customFormat="1" ht="17.25" customHeight="1">
      <c r="A362" s="556" t="str">
        <f t="shared" si="45"/>
        <v>У</v>
      </c>
      <c r="B362" s="557" t="s">
        <v>595</v>
      </c>
      <c r="C362" s="569"/>
      <c r="D362" s="573"/>
      <c r="E362" s="574" t="s">
        <v>847</v>
      </c>
      <c r="F362" s="561" t="s">
        <v>766</v>
      </c>
      <c r="G362" s="599"/>
      <c r="H362" s="679">
        <f>+'[1]Анализа_радник'!$J$7</f>
        <v>1608.3937291597238</v>
      </c>
      <c r="I362" s="717">
        <f t="shared" si="44"/>
        <v>1608.3937291597238</v>
      </c>
      <c r="J362" s="571">
        <f t="shared" si="43"/>
        <v>1930.0724749916685</v>
      </c>
    </row>
    <row r="363" spans="1:10" s="421" customFormat="1" ht="17.25" customHeight="1">
      <c r="A363" s="556" t="str">
        <f t="shared" si="45"/>
        <v>У</v>
      </c>
      <c r="B363" s="557" t="s">
        <v>598</v>
      </c>
      <c r="C363" s="569"/>
      <c r="D363" s="573"/>
      <c r="E363" s="574" t="s">
        <v>848</v>
      </c>
      <c r="F363" s="561" t="s">
        <v>766</v>
      </c>
      <c r="G363" s="599"/>
      <c r="H363" s="679">
        <f>+'[1]Анализа_радник'!$J$7</f>
        <v>1608.3937291597238</v>
      </c>
      <c r="I363" s="717">
        <f t="shared" si="44"/>
        <v>1608.3937291597238</v>
      </c>
      <c r="J363" s="571">
        <f t="shared" si="43"/>
        <v>1930.0724749916685</v>
      </c>
    </row>
    <row r="364" spans="1:10" s="421" customFormat="1" ht="17.25" customHeight="1">
      <c r="A364" s="556" t="str">
        <f t="shared" si="45"/>
        <v>У</v>
      </c>
      <c r="B364" s="557" t="s">
        <v>600</v>
      </c>
      <c r="C364" s="569"/>
      <c r="D364" s="573"/>
      <c r="E364" s="574" t="s">
        <v>1448</v>
      </c>
      <c r="F364" s="561" t="s">
        <v>766</v>
      </c>
      <c r="G364" s="599"/>
      <c r="H364" s="679">
        <f>+'[1]Анализа_радник'!$J$7</f>
        <v>1608.3937291597238</v>
      </c>
      <c r="I364" s="717">
        <f t="shared" si="44"/>
        <v>1608.3937291597238</v>
      </c>
      <c r="J364" s="571">
        <f t="shared" si="43"/>
        <v>1930.0724749916685</v>
      </c>
    </row>
    <row r="365" spans="1:10" s="421" customFormat="1" ht="17.25" customHeight="1">
      <c r="A365" s="556" t="str">
        <f t="shared" si="45"/>
        <v>У</v>
      </c>
      <c r="B365" s="557" t="s">
        <v>601</v>
      </c>
      <c r="C365" s="569"/>
      <c r="D365" s="573"/>
      <c r="E365" s="574" t="s">
        <v>849</v>
      </c>
      <c r="F365" s="561" t="s">
        <v>766</v>
      </c>
      <c r="G365" s="599"/>
      <c r="H365" s="679">
        <f>+'[1]Анализа_радник'!$J$7</f>
        <v>1608.3937291597238</v>
      </c>
      <c r="I365" s="717">
        <f t="shared" si="44"/>
        <v>1608.3937291597238</v>
      </c>
      <c r="J365" s="571">
        <f t="shared" si="43"/>
        <v>1930.0724749916685</v>
      </c>
    </row>
    <row r="366" spans="1:10" s="421" customFormat="1" ht="17.25" customHeight="1">
      <c r="A366" s="556" t="str">
        <f t="shared" si="45"/>
        <v>У</v>
      </c>
      <c r="B366" s="557" t="s">
        <v>602</v>
      </c>
      <c r="C366" s="569"/>
      <c r="D366" s="573"/>
      <c r="E366" s="574" t="s">
        <v>850</v>
      </c>
      <c r="F366" s="561" t="s">
        <v>766</v>
      </c>
      <c r="G366" s="599"/>
      <c r="H366" s="679">
        <f>+'[1]Анализа_радник'!$J$7</f>
        <v>1608.3937291597238</v>
      </c>
      <c r="I366" s="717">
        <f t="shared" si="44"/>
        <v>1608.3937291597238</v>
      </c>
      <c r="J366" s="571">
        <f t="shared" si="43"/>
        <v>1930.0724749916685</v>
      </c>
    </row>
    <row r="367" spans="1:10" s="421" customFormat="1" ht="17.25" customHeight="1">
      <c r="A367" s="556" t="str">
        <f t="shared" si="45"/>
        <v>У</v>
      </c>
      <c r="B367" s="557" t="s">
        <v>603</v>
      </c>
      <c r="C367" s="569"/>
      <c r="D367" s="573"/>
      <c r="E367" s="574" t="s">
        <v>851</v>
      </c>
      <c r="F367" s="561" t="s">
        <v>766</v>
      </c>
      <c r="G367" s="599"/>
      <c r="H367" s="679">
        <f>+'[1]Анализа_радник'!$J$7</f>
        <v>1608.3937291597238</v>
      </c>
      <c r="I367" s="717">
        <f t="shared" si="44"/>
        <v>1608.3937291597238</v>
      </c>
      <c r="J367" s="571">
        <f t="shared" si="43"/>
        <v>1930.0724749916685</v>
      </c>
    </row>
    <row r="368" spans="1:10" s="421" customFormat="1" ht="17.25" customHeight="1">
      <c r="A368" s="556" t="str">
        <f t="shared" si="45"/>
        <v>У</v>
      </c>
      <c r="B368" s="557" t="s">
        <v>604</v>
      </c>
      <c r="C368" s="569"/>
      <c r="D368" s="573"/>
      <c r="E368" s="574" t="s">
        <v>852</v>
      </c>
      <c r="F368" s="561" t="s">
        <v>766</v>
      </c>
      <c r="G368" s="599"/>
      <c r="H368" s="679">
        <f>+'[1]Анализа_радник'!$J$6</f>
        <v>1553.8719078322752</v>
      </c>
      <c r="I368" s="717">
        <f t="shared" si="44"/>
        <v>1553.8719078322752</v>
      </c>
      <c r="J368" s="571">
        <f t="shared" si="43"/>
        <v>1864.64628939873</v>
      </c>
    </row>
    <row r="369" spans="1:10" s="421" customFormat="1" ht="17.25" customHeight="1" thickBot="1">
      <c r="A369" s="768"/>
      <c r="B369" s="769"/>
      <c r="C369" s="770"/>
      <c r="D369" s="771"/>
      <c r="E369" s="772"/>
      <c r="F369" s="773"/>
      <c r="G369" s="774"/>
      <c r="H369" s="775"/>
      <c r="I369" s="776"/>
      <c r="J369" s="777"/>
    </row>
    <row r="370" spans="1:10" s="421" customFormat="1" ht="6.75" customHeight="1" thickTop="1">
      <c r="A370" s="601"/>
      <c r="B370" s="606"/>
      <c r="C370" s="778"/>
      <c r="D370" s="778"/>
      <c r="E370" s="53"/>
      <c r="F370" s="778"/>
      <c r="G370" s="778"/>
      <c r="H370" s="778"/>
      <c r="I370" s="779"/>
      <c r="J370" s="779"/>
    </row>
    <row r="371" spans="1:12" ht="10.5" customHeight="1">
      <c r="A371" s="460"/>
      <c r="B371" s="780"/>
      <c r="C371" s="780"/>
      <c r="D371" s="511"/>
      <c r="E371" s="1"/>
      <c r="F371" s="781"/>
      <c r="G371" s="781"/>
      <c r="H371" s="781"/>
      <c r="I371" s="782"/>
      <c r="J371" s="782"/>
      <c r="K371" s="421"/>
      <c r="L371" s="421"/>
    </row>
    <row r="372" spans="1:12" s="786" customFormat="1" ht="15.75">
      <c r="A372" s="783"/>
      <c r="B372" s="784"/>
      <c r="C372" s="850" t="s">
        <v>1449</v>
      </c>
      <c r="D372" s="850"/>
      <c r="E372" s="403"/>
      <c r="F372" s="191"/>
      <c r="G372" s="191"/>
      <c r="H372" s="191" t="s">
        <v>1450</v>
      </c>
      <c r="I372" s="785"/>
      <c r="J372" s="785"/>
      <c r="K372" s="440"/>
      <c r="L372" s="440"/>
    </row>
    <row r="373" spans="1:10" s="786" customFormat="1" ht="21.75" customHeight="1">
      <c r="A373" s="783"/>
      <c r="B373" s="784"/>
      <c r="C373" s="787">
        <v>1</v>
      </c>
      <c r="D373" s="788"/>
      <c r="E373" s="789"/>
      <c r="F373" s="790"/>
      <c r="G373" s="790"/>
      <c r="H373" s="790"/>
      <c r="I373" s="791"/>
      <c r="J373" s="791"/>
    </row>
    <row r="374" spans="1:10" s="786" customFormat="1" ht="21.75" customHeight="1">
      <c r="A374" s="783"/>
      <c r="B374" s="784"/>
      <c r="C374" s="787">
        <v>2</v>
      </c>
      <c r="D374" s="788"/>
      <c r="E374" s="789" t="s">
        <v>1028</v>
      </c>
      <c r="F374" s="783"/>
      <c r="G374" s="783"/>
      <c r="H374" s="792"/>
      <c r="I374" s="793"/>
      <c r="J374" s="793"/>
    </row>
    <row r="375" spans="1:10" s="786" customFormat="1" ht="21.75" customHeight="1">
      <c r="A375" s="783"/>
      <c r="B375" s="784"/>
      <c r="C375" s="787">
        <v>3</v>
      </c>
      <c r="D375" s="788"/>
      <c r="E375" s="789"/>
      <c r="F375" s="794"/>
      <c r="G375" s="794"/>
      <c r="H375" s="795" t="s">
        <v>1451</v>
      </c>
      <c r="I375" s="796"/>
      <c r="J375" s="796"/>
    </row>
    <row r="376" spans="1:10" s="786" customFormat="1" ht="20.25" customHeight="1">
      <c r="A376" s="783"/>
      <c r="B376" s="784"/>
      <c r="C376" s="797"/>
      <c r="D376" s="788"/>
      <c r="E376" s="783"/>
      <c r="I376" s="798"/>
      <c r="J376" s="798"/>
    </row>
    <row r="377" spans="1:10" s="786" customFormat="1" ht="15.75">
      <c r="A377" s="783"/>
      <c r="B377" s="783"/>
      <c r="C377" s="54"/>
      <c r="D377" s="54"/>
      <c r="E377" s="799"/>
      <c r="F377" s="54"/>
      <c r="G377" s="54"/>
      <c r="H377" s="54"/>
      <c r="I377" s="800"/>
      <c r="J377" s="800"/>
    </row>
    <row r="378" spans="1:10" s="786" customFormat="1" ht="15.75">
      <c r="A378" s="783"/>
      <c r="B378" s="783"/>
      <c r="C378" s="54"/>
      <c r="D378" s="54"/>
      <c r="E378" s="1"/>
      <c r="F378" s="54"/>
      <c r="G378" s="54"/>
      <c r="H378" s="54"/>
      <c r="I378" s="800"/>
      <c r="J378" s="800"/>
    </row>
    <row r="379" spans="1:12" ht="15.75">
      <c r="A379" s="460"/>
      <c r="B379" s="460"/>
      <c r="E379" s="801"/>
      <c r="F379" s="802"/>
      <c r="G379" s="802"/>
      <c r="H379" s="802"/>
      <c r="I379" s="800"/>
      <c r="J379" s="800"/>
      <c r="K379" s="786"/>
      <c r="L379" s="786"/>
    </row>
    <row r="380" spans="1:10" ht="15.75">
      <c r="A380" s="460"/>
      <c r="B380" s="460"/>
      <c r="E380" s="801"/>
      <c r="F380" s="802"/>
      <c r="G380" s="802"/>
      <c r="H380" s="802"/>
      <c r="I380" s="800"/>
      <c r="J380" s="800"/>
    </row>
    <row r="381" spans="1:10" ht="15.75">
      <c r="A381" s="460"/>
      <c r="B381" s="460"/>
      <c r="E381" s="1"/>
      <c r="F381" s="54"/>
      <c r="G381" s="54"/>
      <c r="H381" s="54"/>
      <c r="I381" s="800"/>
      <c r="J381" s="800"/>
    </row>
    <row r="382" spans="1:10" ht="15.75">
      <c r="A382" s="460"/>
      <c r="B382" s="460"/>
      <c r="E382" s="1"/>
      <c r="F382" s="54"/>
      <c r="G382" s="54"/>
      <c r="H382" s="54"/>
      <c r="I382" s="800"/>
      <c r="J382" s="800"/>
    </row>
    <row r="383" spans="1:10" ht="15.75">
      <c r="A383" s="460"/>
      <c r="B383" s="460"/>
      <c r="E383" s="1"/>
      <c r="F383" s="54"/>
      <c r="G383" s="54"/>
      <c r="H383" s="54"/>
      <c r="I383" s="800"/>
      <c r="J383" s="800"/>
    </row>
    <row r="384" spans="1:10" ht="15.75">
      <c r="A384" s="460"/>
      <c r="B384" s="460"/>
      <c r="E384" s="1"/>
      <c r="F384" s="54"/>
      <c r="G384" s="54"/>
      <c r="H384" s="54"/>
      <c r="I384" s="800"/>
      <c r="J384" s="800"/>
    </row>
    <row r="385" spans="1:10" ht="15.75">
      <c r="A385" s="460"/>
      <c r="B385" s="460"/>
      <c r="E385" s="1"/>
      <c r="F385" s="54"/>
      <c r="G385" s="54"/>
      <c r="H385" s="54"/>
      <c r="I385" s="800"/>
      <c r="J385" s="800"/>
    </row>
    <row r="386" spans="1:10" ht="15.75">
      <c r="A386" s="460"/>
      <c r="B386" s="460"/>
      <c r="E386" s="1"/>
      <c r="F386" s="54"/>
      <c r="G386" s="54"/>
      <c r="H386" s="54"/>
      <c r="I386" s="800"/>
      <c r="J386" s="800"/>
    </row>
    <row r="387" spans="1:10" ht="15.75">
      <c r="A387" s="460"/>
      <c r="B387" s="460"/>
      <c r="E387" s="1"/>
      <c r="F387" s="54"/>
      <c r="G387" s="54"/>
      <c r="H387" s="54"/>
      <c r="I387" s="800"/>
      <c r="J387" s="800"/>
    </row>
    <row r="388" spans="1:10" ht="15.75">
      <c r="A388" s="460"/>
      <c r="B388" s="460"/>
      <c r="E388" s="1"/>
      <c r="F388" s="54"/>
      <c r="G388" s="54"/>
      <c r="H388" s="54"/>
      <c r="I388" s="800"/>
      <c r="J388" s="800"/>
    </row>
    <row r="389" spans="1:10" ht="15.75">
      <c r="A389" s="460"/>
      <c r="B389" s="460"/>
      <c r="E389" s="1"/>
      <c r="F389" s="54"/>
      <c r="G389" s="54"/>
      <c r="H389" s="54"/>
      <c r="I389" s="800"/>
      <c r="J389" s="800"/>
    </row>
    <row r="390" spans="1:10" ht="15.75">
      <c r="A390" s="460"/>
      <c r="B390" s="460"/>
      <c r="E390" s="1"/>
      <c r="F390" s="54"/>
      <c r="G390" s="54"/>
      <c r="H390" s="54"/>
      <c r="I390" s="800"/>
      <c r="J390" s="800"/>
    </row>
    <row r="391" spans="1:10" ht="15.75">
      <c r="A391" s="460"/>
      <c r="B391" s="460"/>
      <c r="E391" s="1"/>
      <c r="F391" s="54"/>
      <c r="G391" s="54"/>
      <c r="H391" s="54"/>
      <c r="I391" s="800"/>
      <c r="J391" s="800"/>
    </row>
    <row r="392" spans="1:10" ht="15.75">
      <c r="A392" s="460"/>
      <c r="B392" s="460"/>
      <c r="E392" s="1"/>
      <c r="F392" s="54"/>
      <c r="G392" s="54"/>
      <c r="H392" s="54"/>
      <c r="I392" s="800"/>
      <c r="J392" s="800"/>
    </row>
    <row r="393" spans="1:10" ht="15.75">
      <c r="A393" s="460"/>
      <c r="B393" s="460"/>
      <c r="E393" s="1"/>
      <c r="F393" s="54"/>
      <c r="G393" s="54"/>
      <c r="H393" s="54"/>
      <c r="I393" s="800"/>
      <c r="J393" s="800"/>
    </row>
    <row r="394" spans="1:10" ht="15.75">
      <c r="A394" s="460"/>
      <c r="B394" s="460"/>
      <c r="E394" s="1"/>
      <c r="F394" s="54"/>
      <c r="G394" s="54"/>
      <c r="H394" s="54"/>
      <c r="I394" s="800"/>
      <c r="J394" s="800"/>
    </row>
    <row r="395" spans="1:10" ht="15.75">
      <c r="A395" s="460"/>
      <c r="B395" s="460"/>
      <c r="E395" s="1"/>
      <c r="F395" s="54"/>
      <c r="G395" s="54"/>
      <c r="H395" s="54"/>
      <c r="I395" s="800"/>
      <c r="J395" s="800"/>
    </row>
    <row r="396" spans="1:10" ht="15.75">
      <c r="A396" s="460"/>
      <c r="B396" s="460"/>
      <c r="E396" s="1"/>
      <c r="F396" s="54"/>
      <c r="G396" s="54"/>
      <c r="H396" s="54"/>
      <c r="I396" s="800"/>
      <c r="J396" s="800"/>
    </row>
    <row r="397" spans="1:10" ht="15.75">
      <c r="A397" s="460"/>
      <c r="B397" s="460"/>
      <c r="E397" s="1"/>
      <c r="F397" s="54"/>
      <c r="G397" s="54"/>
      <c r="H397" s="54"/>
      <c r="I397" s="800"/>
      <c r="J397" s="800"/>
    </row>
    <row r="398" spans="1:10" ht="15.75">
      <c r="A398" s="460"/>
      <c r="B398" s="460"/>
      <c r="E398" s="1"/>
      <c r="F398" s="54"/>
      <c r="G398" s="54"/>
      <c r="H398" s="54"/>
      <c r="I398" s="800"/>
      <c r="J398" s="800"/>
    </row>
    <row r="399" spans="1:10" ht="15.75">
      <c r="A399" s="460"/>
      <c r="B399" s="460"/>
      <c r="E399" s="1"/>
      <c r="F399" s="54"/>
      <c r="G399" s="54"/>
      <c r="H399" s="54"/>
      <c r="I399" s="800"/>
      <c r="J399" s="800"/>
    </row>
    <row r="400" spans="1:10" ht="15.75">
      <c r="A400" s="460"/>
      <c r="B400" s="460"/>
      <c r="E400" s="1"/>
      <c r="F400" s="54"/>
      <c r="G400" s="54"/>
      <c r="H400" s="54"/>
      <c r="I400" s="800"/>
      <c r="J400" s="800"/>
    </row>
    <row r="401" spans="1:10" ht="15.75">
      <c r="A401" s="460"/>
      <c r="B401" s="460"/>
      <c r="E401" s="1"/>
      <c r="F401" s="54"/>
      <c r="G401" s="54"/>
      <c r="H401" s="54"/>
      <c r="I401" s="800"/>
      <c r="J401" s="800"/>
    </row>
    <row r="402" spans="1:10" ht="15.75">
      <c r="A402" s="460"/>
      <c r="B402" s="460"/>
      <c r="E402" s="1"/>
      <c r="F402" s="54"/>
      <c r="G402" s="54"/>
      <c r="H402" s="54"/>
      <c r="I402" s="800"/>
      <c r="J402" s="800"/>
    </row>
    <row r="403" spans="1:10" ht="15.75">
      <c r="A403" s="460"/>
      <c r="B403" s="460"/>
      <c r="E403" s="1"/>
      <c r="F403" s="54"/>
      <c r="G403" s="54"/>
      <c r="H403" s="54"/>
      <c r="I403" s="800"/>
      <c r="J403" s="800"/>
    </row>
    <row r="404" spans="1:10" ht="15.75">
      <c r="A404" s="460"/>
      <c r="B404" s="460"/>
      <c r="E404" s="1"/>
      <c r="F404" s="54"/>
      <c r="G404" s="54"/>
      <c r="H404" s="54"/>
      <c r="I404" s="800"/>
      <c r="J404" s="800"/>
    </row>
    <row r="405" spans="1:10" ht="15.75">
      <c r="A405" s="460"/>
      <c r="B405" s="460"/>
      <c r="E405" s="1"/>
      <c r="F405" s="54"/>
      <c r="G405" s="54"/>
      <c r="H405" s="54"/>
      <c r="I405" s="800"/>
      <c r="J405" s="800"/>
    </row>
    <row r="406" spans="1:10" ht="15.75">
      <c r="A406" s="460"/>
      <c r="B406" s="460"/>
      <c r="E406" s="1"/>
      <c r="F406" s="54"/>
      <c r="G406" s="54"/>
      <c r="H406" s="54"/>
      <c r="I406" s="800"/>
      <c r="J406" s="800"/>
    </row>
    <row r="407" spans="1:10" ht="15.75">
      <c r="A407" s="460"/>
      <c r="B407" s="460"/>
      <c r="E407" s="1"/>
      <c r="F407" s="54"/>
      <c r="G407" s="54"/>
      <c r="H407" s="54"/>
      <c r="I407" s="800"/>
      <c r="J407" s="800"/>
    </row>
    <row r="408" spans="1:10" ht="15.75">
      <c r="A408" s="460"/>
      <c r="B408" s="460"/>
      <c r="E408" s="1"/>
      <c r="F408" s="54"/>
      <c r="G408" s="54"/>
      <c r="H408" s="54"/>
      <c r="I408" s="800"/>
      <c r="J408" s="800"/>
    </row>
    <row r="409" spans="1:10" ht="15.75">
      <c r="A409" s="460"/>
      <c r="B409" s="460"/>
      <c r="E409" s="1"/>
      <c r="F409" s="54"/>
      <c r="G409" s="54"/>
      <c r="H409" s="54"/>
      <c r="I409" s="800"/>
      <c r="J409" s="800"/>
    </row>
    <row r="410" spans="1:10" ht="15.75">
      <c r="A410" s="460"/>
      <c r="B410" s="460"/>
      <c r="E410" s="1"/>
      <c r="F410" s="54"/>
      <c r="G410" s="54"/>
      <c r="H410" s="54"/>
      <c r="I410" s="800"/>
      <c r="J410" s="800"/>
    </row>
    <row r="411" spans="1:10" ht="15.75">
      <c r="A411" s="460"/>
      <c r="B411" s="460"/>
      <c r="E411" s="1"/>
      <c r="F411" s="54"/>
      <c r="G411" s="54"/>
      <c r="H411" s="54"/>
      <c r="I411" s="800"/>
      <c r="J411" s="800"/>
    </row>
    <row r="412" spans="1:10" ht="15.75">
      <c r="A412" s="460"/>
      <c r="B412" s="460"/>
      <c r="E412" s="1"/>
      <c r="F412" s="54"/>
      <c r="G412" s="54"/>
      <c r="H412" s="54"/>
      <c r="I412" s="800"/>
      <c r="J412" s="800"/>
    </row>
    <row r="413" spans="1:10" ht="15.75">
      <c r="A413" s="460"/>
      <c r="B413" s="460"/>
      <c r="E413" s="1"/>
      <c r="F413" s="54"/>
      <c r="G413" s="54"/>
      <c r="H413" s="54"/>
      <c r="I413" s="800"/>
      <c r="J413" s="800"/>
    </row>
    <row r="414" spans="1:10" ht="15.75">
      <c r="A414" s="460"/>
      <c r="B414" s="460"/>
      <c r="E414" s="1"/>
      <c r="F414" s="54"/>
      <c r="G414" s="54"/>
      <c r="H414" s="54"/>
      <c r="I414" s="800"/>
      <c r="J414" s="800"/>
    </row>
    <row r="415" spans="1:10" ht="15.75">
      <c r="A415" s="460"/>
      <c r="B415" s="460"/>
      <c r="E415" s="1"/>
      <c r="F415" s="54"/>
      <c r="G415" s="54"/>
      <c r="H415" s="54"/>
      <c r="I415" s="800"/>
      <c r="J415" s="800"/>
    </row>
    <row r="416" spans="1:10" ht="15.75">
      <c r="A416" s="460"/>
      <c r="B416" s="460"/>
      <c r="E416" s="1"/>
      <c r="F416" s="54"/>
      <c r="G416" s="54"/>
      <c r="H416" s="54"/>
      <c r="I416" s="800"/>
      <c r="J416" s="800"/>
    </row>
    <row r="417" spans="1:10" ht="15.75">
      <c r="A417" s="460"/>
      <c r="B417" s="460"/>
      <c r="E417" s="1"/>
      <c r="F417" s="54"/>
      <c r="G417" s="54"/>
      <c r="H417" s="54"/>
      <c r="I417" s="800"/>
      <c r="J417" s="800"/>
    </row>
    <row r="418" spans="1:10" ht="15.75">
      <c r="A418" s="460"/>
      <c r="B418" s="460"/>
      <c r="E418" s="1"/>
      <c r="F418" s="54"/>
      <c r="G418" s="54"/>
      <c r="H418" s="54"/>
      <c r="I418" s="800"/>
      <c r="J418" s="800"/>
    </row>
    <row r="419" spans="1:10" ht="15.75">
      <c r="A419" s="460"/>
      <c r="B419" s="460"/>
      <c r="E419" s="1"/>
      <c r="F419" s="54"/>
      <c r="G419" s="54"/>
      <c r="H419" s="54"/>
      <c r="I419" s="800"/>
      <c r="J419" s="800"/>
    </row>
    <row r="420" spans="1:10" ht="15.75">
      <c r="A420" s="460"/>
      <c r="B420" s="460"/>
      <c r="E420" s="1"/>
      <c r="F420" s="54"/>
      <c r="G420" s="54"/>
      <c r="H420" s="54"/>
      <c r="I420" s="800"/>
      <c r="J420" s="800"/>
    </row>
    <row r="421" spans="1:10" ht="15.75">
      <c r="A421" s="460"/>
      <c r="B421" s="460"/>
      <c r="E421" s="1"/>
      <c r="F421" s="54"/>
      <c r="G421" s="54"/>
      <c r="H421" s="54"/>
      <c r="I421" s="800"/>
      <c r="J421" s="800"/>
    </row>
    <row r="422" spans="1:10" ht="15.75">
      <c r="A422" s="460"/>
      <c r="B422" s="460"/>
      <c r="E422" s="1"/>
      <c r="F422" s="54"/>
      <c r="G422" s="54"/>
      <c r="H422" s="54"/>
      <c r="I422" s="800"/>
      <c r="J422" s="800"/>
    </row>
    <row r="423" spans="1:10" ht="15.75">
      <c r="A423" s="460"/>
      <c r="B423" s="460"/>
      <c r="E423" s="1"/>
      <c r="F423" s="54"/>
      <c r="G423" s="54"/>
      <c r="H423" s="54"/>
      <c r="I423" s="800"/>
      <c r="J423" s="800"/>
    </row>
    <row r="424" spans="1:10" ht="15.75">
      <c r="A424" s="460"/>
      <c r="B424" s="460"/>
      <c r="E424" s="1"/>
      <c r="F424" s="54"/>
      <c r="G424" s="54"/>
      <c r="H424" s="54"/>
      <c r="I424" s="800"/>
      <c r="J424" s="800"/>
    </row>
    <row r="425" spans="1:10" ht="15.75">
      <c r="A425" s="460"/>
      <c r="B425" s="460"/>
      <c r="E425" s="1"/>
      <c r="F425" s="54"/>
      <c r="G425" s="54"/>
      <c r="H425" s="54"/>
      <c r="I425" s="800"/>
      <c r="J425" s="800"/>
    </row>
    <row r="426" spans="1:10" ht="15.75">
      <c r="A426" s="460"/>
      <c r="B426" s="460"/>
      <c r="E426" s="1"/>
      <c r="F426" s="54"/>
      <c r="G426" s="54"/>
      <c r="H426" s="54"/>
      <c r="I426" s="800"/>
      <c r="J426" s="800"/>
    </row>
    <row r="427" spans="1:10" ht="15.75">
      <c r="A427" s="460"/>
      <c r="B427" s="460"/>
      <c r="E427" s="1"/>
      <c r="F427" s="54"/>
      <c r="G427" s="54"/>
      <c r="H427" s="54"/>
      <c r="I427" s="800"/>
      <c r="J427" s="800"/>
    </row>
    <row r="428" spans="1:10" ht="15.75">
      <c r="A428" s="460"/>
      <c r="B428" s="460"/>
      <c r="E428" s="1"/>
      <c r="F428" s="54"/>
      <c r="G428" s="54"/>
      <c r="H428" s="54"/>
      <c r="I428" s="800"/>
      <c r="J428" s="800"/>
    </row>
    <row r="429" spans="1:10" ht="15.75">
      <c r="A429" s="460"/>
      <c r="B429" s="460"/>
      <c r="E429" s="1"/>
      <c r="F429" s="54"/>
      <c r="G429" s="54"/>
      <c r="H429" s="54"/>
      <c r="I429" s="800"/>
      <c r="J429" s="800"/>
    </row>
    <row r="430" spans="1:10" ht="15.75">
      <c r="A430" s="460"/>
      <c r="B430" s="460"/>
      <c r="E430" s="1"/>
      <c r="F430" s="54"/>
      <c r="G430" s="54"/>
      <c r="H430" s="54"/>
      <c r="I430" s="800"/>
      <c r="J430" s="800"/>
    </row>
    <row r="431" spans="1:10" ht="15.75">
      <c r="A431" s="460"/>
      <c r="B431" s="460"/>
      <c r="E431" s="1"/>
      <c r="F431" s="54"/>
      <c r="G431" s="54"/>
      <c r="H431" s="54"/>
      <c r="I431" s="800"/>
      <c r="J431" s="800"/>
    </row>
    <row r="432" spans="1:10" ht="15.75">
      <c r="A432" s="460"/>
      <c r="B432" s="460"/>
      <c r="E432" s="1"/>
      <c r="F432" s="54"/>
      <c r="G432" s="54"/>
      <c r="H432" s="54"/>
      <c r="I432" s="800"/>
      <c r="J432" s="800"/>
    </row>
    <row r="433" spans="1:10" ht="15.75">
      <c r="A433" s="460"/>
      <c r="B433" s="460"/>
      <c r="E433" s="1"/>
      <c r="F433" s="54"/>
      <c r="G433" s="54"/>
      <c r="H433" s="54"/>
      <c r="I433" s="800"/>
      <c r="J433" s="800"/>
    </row>
    <row r="434" spans="1:10" ht="15.75">
      <c r="A434" s="460"/>
      <c r="B434" s="460"/>
      <c r="E434" s="1"/>
      <c r="F434" s="54"/>
      <c r="G434" s="54"/>
      <c r="H434" s="54"/>
      <c r="I434" s="800"/>
      <c r="J434" s="800"/>
    </row>
    <row r="435" spans="1:10" ht="15.75">
      <c r="A435" s="460"/>
      <c r="B435" s="460"/>
      <c r="E435" s="1"/>
      <c r="F435" s="54"/>
      <c r="G435" s="54"/>
      <c r="H435" s="54"/>
      <c r="I435" s="800"/>
      <c r="J435" s="800"/>
    </row>
    <row r="436" spans="1:10" ht="15.75">
      <c r="A436" s="460"/>
      <c r="B436" s="460"/>
      <c r="E436" s="1"/>
      <c r="F436" s="54"/>
      <c r="G436" s="54"/>
      <c r="H436" s="54"/>
      <c r="I436" s="800"/>
      <c r="J436" s="800"/>
    </row>
    <row r="437" spans="1:10" ht="15.75">
      <c r="A437" s="460"/>
      <c r="B437" s="460"/>
      <c r="E437" s="1"/>
      <c r="F437" s="54"/>
      <c r="G437" s="54"/>
      <c r="H437" s="54"/>
      <c r="I437" s="800"/>
      <c r="J437" s="800"/>
    </row>
    <row r="438" spans="1:10" ht="15.75">
      <c r="A438" s="460"/>
      <c r="B438" s="460"/>
      <c r="E438" s="1"/>
      <c r="F438" s="54"/>
      <c r="G438" s="54"/>
      <c r="H438" s="54"/>
      <c r="I438" s="800"/>
      <c r="J438" s="800"/>
    </row>
    <row r="439" spans="1:10" ht="15.75">
      <c r="A439" s="460"/>
      <c r="B439" s="460"/>
      <c r="E439" s="1"/>
      <c r="F439" s="54"/>
      <c r="G439" s="54"/>
      <c r="H439" s="54"/>
      <c r="I439" s="800"/>
      <c r="J439" s="800"/>
    </row>
    <row r="440" spans="1:10" ht="15.75">
      <c r="A440" s="460"/>
      <c r="B440" s="460"/>
      <c r="E440" s="1"/>
      <c r="F440" s="54"/>
      <c r="G440" s="54"/>
      <c r="H440" s="54"/>
      <c r="I440" s="800"/>
      <c r="J440" s="800"/>
    </row>
    <row r="441" spans="1:10" ht="15.75">
      <c r="A441" s="460"/>
      <c r="B441" s="460"/>
      <c r="E441" s="1"/>
      <c r="F441" s="54"/>
      <c r="G441" s="54"/>
      <c r="H441" s="54"/>
      <c r="I441" s="800"/>
      <c r="J441" s="800"/>
    </row>
    <row r="442" spans="1:10" ht="15.75">
      <c r="A442" s="460"/>
      <c r="B442" s="460"/>
      <c r="E442" s="1"/>
      <c r="F442" s="54"/>
      <c r="G442" s="54"/>
      <c r="H442" s="54"/>
      <c r="I442" s="800"/>
      <c r="J442" s="800"/>
    </row>
    <row r="443" spans="1:10" ht="15.75">
      <c r="A443" s="460"/>
      <c r="B443" s="460"/>
      <c r="E443" s="1"/>
      <c r="F443" s="54"/>
      <c r="G443" s="54"/>
      <c r="H443" s="54"/>
      <c r="I443" s="800"/>
      <c r="J443" s="800"/>
    </row>
    <row r="444" spans="1:10" ht="15.75">
      <c r="A444" s="460"/>
      <c r="B444" s="460"/>
      <c r="E444" s="1"/>
      <c r="F444" s="54"/>
      <c r="G444" s="54"/>
      <c r="H444" s="54"/>
      <c r="I444" s="800"/>
      <c r="J444" s="800"/>
    </row>
    <row r="445" spans="1:10" ht="15.75">
      <c r="A445" s="460"/>
      <c r="B445" s="460"/>
      <c r="E445" s="1"/>
      <c r="F445" s="54"/>
      <c r="G445" s="54"/>
      <c r="H445" s="54"/>
      <c r="I445" s="800"/>
      <c r="J445" s="800"/>
    </row>
    <row r="446" spans="1:10" ht="15.75">
      <c r="A446" s="460"/>
      <c r="B446" s="460"/>
      <c r="E446" s="1"/>
      <c r="F446" s="54"/>
      <c r="G446" s="54"/>
      <c r="H446" s="54"/>
      <c r="I446" s="800"/>
      <c r="J446" s="800"/>
    </row>
    <row r="447" spans="1:10" ht="15.75">
      <c r="A447" s="460"/>
      <c r="B447" s="460"/>
      <c r="E447" s="1"/>
      <c r="F447" s="54"/>
      <c r="G447" s="54"/>
      <c r="H447" s="54"/>
      <c r="I447" s="800"/>
      <c r="J447" s="800"/>
    </row>
    <row r="448" spans="1:10" ht="15.75">
      <c r="A448" s="460"/>
      <c r="B448" s="460"/>
      <c r="E448" s="1"/>
      <c r="F448" s="54"/>
      <c r="G448" s="54"/>
      <c r="H448" s="54"/>
      <c r="I448" s="800"/>
      <c r="J448" s="800"/>
    </row>
    <row r="449" spans="1:10" ht="15.75">
      <c r="A449" s="460"/>
      <c r="B449" s="460"/>
      <c r="E449" s="1"/>
      <c r="F449" s="54"/>
      <c r="G449" s="54"/>
      <c r="H449" s="54"/>
      <c r="I449" s="800"/>
      <c r="J449" s="800"/>
    </row>
    <row r="450" spans="1:10" ht="15.75">
      <c r="A450" s="460"/>
      <c r="B450" s="460"/>
      <c r="E450" s="1"/>
      <c r="F450" s="54"/>
      <c r="G450" s="54"/>
      <c r="H450" s="54"/>
      <c r="I450" s="800"/>
      <c r="J450" s="800"/>
    </row>
    <row r="451" spans="1:10" ht="15.75">
      <c r="A451" s="460"/>
      <c r="B451" s="460"/>
      <c r="E451" s="1"/>
      <c r="F451" s="54"/>
      <c r="G451" s="54"/>
      <c r="H451" s="54"/>
      <c r="I451" s="800"/>
      <c r="J451" s="800"/>
    </row>
    <row r="452" spans="1:10" ht="15.75">
      <c r="A452" s="460"/>
      <c r="B452" s="460"/>
      <c r="E452" s="1"/>
      <c r="F452" s="54"/>
      <c r="G452" s="54"/>
      <c r="H452" s="54"/>
      <c r="I452" s="800"/>
      <c r="J452" s="800"/>
    </row>
    <row r="453" spans="1:10" ht="15.75">
      <c r="A453" s="460"/>
      <c r="B453" s="460"/>
      <c r="E453" s="1"/>
      <c r="F453" s="54"/>
      <c r="G453" s="54"/>
      <c r="H453" s="54"/>
      <c r="I453" s="800"/>
      <c r="J453" s="800"/>
    </row>
    <row r="454" spans="1:10" ht="15.75">
      <c r="A454" s="460"/>
      <c r="B454" s="460"/>
      <c r="E454" s="1"/>
      <c r="F454" s="54"/>
      <c r="G454" s="54"/>
      <c r="H454" s="54"/>
      <c r="I454" s="800"/>
      <c r="J454" s="800"/>
    </row>
    <row r="455" spans="1:10" ht="15.75">
      <c r="A455" s="460"/>
      <c r="B455" s="460"/>
      <c r="E455" s="1"/>
      <c r="F455" s="54"/>
      <c r="G455" s="54"/>
      <c r="H455" s="54"/>
      <c r="I455" s="800"/>
      <c r="J455" s="800"/>
    </row>
    <row r="456" spans="1:10" ht="15.75">
      <c r="A456" s="460"/>
      <c r="B456" s="460"/>
      <c r="E456" s="1"/>
      <c r="F456" s="54"/>
      <c r="G456" s="54"/>
      <c r="H456" s="54"/>
      <c r="I456" s="800"/>
      <c r="J456" s="800"/>
    </row>
    <row r="457" spans="1:10" ht="15.75">
      <c r="A457" s="460"/>
      <c r="B457" s="460"/>
      <c r="E457" s="1"/>
      <c r="F457" s="54"/>
      <c r="G457" s="54"/>
      <c r="H457" s="54"/>
      <c r="I457" s="800"/>
      <c r="J457" s="800"/>
    </row>
    <row r="458" spans="1:10" ht="15.75">
      <c r="A458" s="460"/>
      <c r="B458" s="460"/>
      <c r="E458" s="1"/>
      <c r="F458" s="54"/>
      <c r="G458" s="54"/>
      <c r="H458" s="54"/>
      <c r="I458" s="800"/>
      <c r="J458" s="800"/>
    </row>
    <row r="459" spans="1:10" ht="15.75">
      <c r="A459" s="460"/>
      <c r="B459" s="460"/>
      <c r="E459" s="1"/>
      <c r="F459" s="54"/>
      <c r="G459" s="54"/>
      <c r="H459" s="54"/>
      <c r="I459" s="800"/>
      <c r="J459" s="800"/>
    </row>
    <row r="460" spans="1:10" ht="15.75">
      <c r="A460" s="460"/>
      <c r="B460" s="460"/>
      <c r="E460" s="1"/>
      <c r="F460" s="54"/>
      <c r="G460" s="54"/>
      <c r="H460" s="54"/>
      <c r="I460" s="800"/>
      <c r="J460" s="800"/>
    </row>
    <row r="461" spans="1:10" ht="15.75">
      <c r="A461" s="460"/>
      <c r="B461" s="460"/>
      <c r="E461" s="1"/>
      <c r="F461" s="54"/>
      <c r="G461" s="54"/>
      <c r="H461" s="54"/>
      <c r="I461" s="800"/>
      <c r="J461" s="800"/>
    </row>
    <row r="462" spans="1:10" ht="15.75">
      <c r="A462" s="460"/>
      <c r="B462" s="460"/>
      <c r="E462" s="1"/>
      <c r="F462" s="54"/>
      <c r="G462" s="54"/>
      <c r="H462" s="54"/>
      <c r="I462" s="800"/>
      <c r="J462" s="800"/>
    </row>
    <row r="463" spans="1:10" ht="15.75">
      <c r="A463" s="460"/>
      <c r="B463" s="460"/>
      <c r="E463" s="1"/>
      <c r="F463" s="54"/>
      <c r="G463" s="54"/>
      <c r="H463" s="54"/>
      <c r="I463" s="800"/>
      <c r="J463" s="800"/>
    </row>
    <row r="464" spans="1:10" ht="15.75">
      <c r="A464" s="460"/>
      <c r="B464" s="460"/>
      <c r="E464" s="1"/>
      <c r="F464" s="54"/>
      <c r="G464" s="54"/>
      <c r="H464" s="54"/>
      <c r="I464" s="800"/>
      <c r="J464" s="800"/>
    </row>
    <row r="465" spans="1:10" ht="15.75">
      <c r="A465" s="460"/>
      <c r="B465" s="460"/>
      <c r="E465" s="1"/>
      <c r="F465" s="54"/>
      <c r="G465" s="54"/>
      <c r="H465" s="54"/>
      <c r="I465" s="800"/>
      <c r="J465" s="800"/>
    </row>
    <row r="466" spans="1:10" ht="15.75">
      <c r="A466" s="460"/>
      <c r="B466" s="460"/>
      <c r="E466" s="1"/>
      <c r="F466" s="54"/>
      <c r="G466" s="54"/>
      <c r="H466" s="54"/>
      <c r="I466" s="800"/>
      <c r="J466" s="800"/>
    </row>
    <row r="467" spans="1:10" ht="15.75">
      <c r="A467" s="460"/>
      <c r="B467" s="460"/>
      <c r="E467" s="1"/>
      <c r="F467" s="54"/>
      <c r="G467" s="54"/>
      <c r="H467" s="54"/>
      <c r="I467" s="800"/>
      <c r="J467" s="800"/>
    </row>
    <row r="468" spans="1:10" ht="15.75">
      <c r="A468" s="460"/>
      <c r="B468" s="460"/>
      <c r="E468" s="1"/>
      <c r="F468" s="54"/>
      <c r="G468" s="54"/>
      <c r="H468" s="54"/>
      <c r="I468" s="800"/>
      <c r="J468" s="800"/>
    </row>
    <row r="469" spans="1:10" ht="15.75">
      <c r="A469" s="460"/>
      <c r="B469" s="460"/>
      <c r="E469" s="1"/>
      <c r="F469" s="54"/>
      <c r="G469" s="54"/>
      <c r="H469" s="54"/>
      <c r="I469" s="800"/>
      <c r="J469" s="800"/>
    </row>
    <row r="470" spans="1:10" ht="15.75">
      <c r="A470" s="460"/>
      <c r="B470" s="460"/>
      <c r="E470" s="1"/>
      <c r="F470" s="54"/>
      <c r="G470" s="54"/>
      <c r="H470" s="54"/>
      <c r="I470" s="800"/>
      <c r="J470" s="800"/>
    </row>
    <row r="471" spans="1:10" ht="15.75">
      <c r="A471" s="460"/>
      <c r="B471" s="460"/>
      <c r="E471" s="1"/>
      <c r="F471" s="54"/>
      <c r="G471" s="54"/>
      <c r="H471" s="54"/>
      <c r="I471" s="800"/>
      <c r="J471" s="800"/>
    </row>
    <row r="472" spans="1:10" ht="15.75">
      <c r="A472" s="460"/>
      <c r="B472" s="460"/>
      <c r="E472" s="1"/>
      <c r="F472" s="54"/>
      <c r="G472" s="54"/>
      <c r="H472" s="54"/>
      <c r="I472" s="800"/>
      <c r="J472" s="800"/>
    </row>
    <row r="473" spans="1:10" ht="15.75">
      <c r="A473" s="460"/>
      <c r="B473" s="460"/>
      <c r="E473" s="1"/>
      <c r="F473" s="54"/>
      <c r="G473" s="54"/>
      <c r="H473" s="54"/>
      <c r="I473" s="800"/>
      <c r="J473" s="800"/>
    </row>
    <row r="474" spans="1:10" ht="15.75">
      <c r="A474" s="460"/>
      <c r="B474" s="460"/>
      <c r="E474" s="1"/>
      <c r="F474" s="54"/>
      <c r="G474" s="54"/>
      <c r="H474" s="54"/>
      <c r="I474" s="800"/>
      <c r="J474" s="800"/>
    </row>
    <row r="475" spans="1:10" ht="15.75">
      <c r="A475" s="460"/>
      <c r="B475" s="460"/>
      <c r="E475" s="1"/>
      <c r="F475" s="54"/>
      <c r="G475" s="54"/>
      <c r="H475" s="54"/>
      <c r="I475" s="800"/>
      <c r="J475" s="800"/>
    </row>
    <row r="476" spans="1:10" ht="15.75">
      <c r="A476" s="460"/>
      <c r="B476" s="460"/>
      <c r="E476" s="1"/>
      <c r="F476" s="54"/>
      <c r="G476" s="54"/>
      <c r="H476" s="54"/>
      <c r="I476" s="800"/>
      <c r="J476" s="800"/>
    </row>
    <row r="477" spans="1:10" ht="15.75">
      <c r="A477" s="460"/>
      <c r="B477" s="460"/>
      <c r="E477" s="1"/>
      <c r="F477" s="54"/>
      <c r="G477" s="54"/>
      <c r="H477" s="54"/>
      <c r="I477" s="800"/>
      <c r="J477" s="800"/>
    </row>
    <row r="478" spans="1:10" ht="15.75">
      <c r="A478" s="460"/>
      <c r="B478" s="460"/>
      <c r="E478" s="1"/>
      <c r="F478" s="54"/>
      <c r="G478" s="54"/>
      <c r="H478" s="54"/>
      <c r="I478" s="800"/>
      <c r="J478" s="800"/>
    </row>
    <row r="479" spans="1:10" ht="15.75">
      <c r="A479" s="460"/>
      <c r="B479" s="460"/>
      <c r="E479" s="1"/>
      <c r="F479" s="54"/>
      <c r="G479" s="54"/>
      <c r="H479" s="54"/>
      <c r="I479" s="800"/>
      <c r="J479" s="800"/>
    </row>
    <row r="480" spans="5:10" ht="15.75">
      <c r="E480" s="1"/>
      <c r="F480" s="54"/>
      <c r="G480" s="54"/>
      <c r="H480" s="54"/>
      <c r="I480" s="800"/>
      <c r="J480" s="800"/>
    </row>
    <row r="481" spans="5:10" ht="15.75">
      <c r="E481" s="1"/>
      <c r="F481" s="54"/>
      <c r="G481" s="54"/>
      <c r="H481" s="54"/>
      <c r="I481" s="800"/>
      <c r="J481" s="800"/>
    </row>
    <row r="482" spans="5:10" ht="15.75">
      <c r="E482" s="1"/>
      <c r="F482" s="54"/>
      <c r="G482" s="54"/>
      <c r="H482" s="54"/>
      <c r="I482" s="800"/>
      <c r="J482" s="800"/>
    </row>
    <row r="483" spans="5:10" ht="15.75">
      <c r="E483" s="1"/>
      <c r="F483" s="54"/>
      <c r="G483" s="54"/>
      <c r="H483" s="54"/>
      <c r="I483" s="800"/>
      <c r="J483" s="800"/>
    </row>
    <row r="484" spans="5:10" ht="15.75">
      <c r="E484" s="1"/>
      <c r="F484" s="54"/>
      <c r="G484" s="54"/>
      <c r="H484" s="54"/>
      <c r="I484" s="800"/>
      <c r="J484" s="800"/>
    </row>
    <row r="485" spans="5:10" ht="15.75">
      <c r="E485" s="1"/>
      <c r="F485" s="54"/>
      <c r="G485" s="54"/>
      <c r="H485" s="54"/>
      <c r="I485" s="800"/>
      <c r="J485" s="800"/>
    </row>
    <row r="486" spans="5:10" ht="15.75">
      <c r="E486" s="1"/>
      <c r="F486" s="54"/>
      <c r="G486" s="54"/>
      <c r="H486" s="54"/>
      <c r="I486" s="800"/>
      <c r="J486" s="800"/>
    </row>
    <row r="487" spans="5:10" ht="15.75">
      <c r="E487" s="1"/>
      <c r="F487" s="54"/>
      <c r="G487" s="54"/>
      <c r="H487" s="54"/>
      <c r="I487" s="800"/>
      <c r="J487" s="800"/>
    </row>
    <row r="488" spans="5:10" ht="15.75">
      <c r="E488" s="1"/>
      <c r="F488" s="54"/>
      <c r="G488" s="54"/>
      <c r="H488" s="54"/>
      <c r="I488" s="800"/>
      <c r="J488" s="800"/>
    </row>
    <row r="489" spans="3:10" ht="15.75">
      <c r="C489" s="440"/>
      <c r="D489" s="440"/>
      <c r="E489" s="1"/>
      <c r="F489" s="54"/>
      <c r="G489" s="54"/>
      <c r="H489" s="54"/>
      <c r="I489" s="800"/>
      <c r="J489" s="800"/>
    </row>
    <row r="490" spans="3:10" ht="15.75">
      <c r="C490" s="440"/>
      <c r="D490" s="440"/>
      <c r="E490" s="1"/>
      <c r="F490" s="54"/>
      <c r="G490" s="54"/>
      <c r="H490" s="54"/>
      <c r="I490" s="800"/>
      <c r="J490" s="800"/>
    </row>
    <row r="491" spans="3:10" ht="15.75">
      <c r="C491" s="440"/>
      <c r="D491" s="440"/>
      <c r="E491" s="1"/>
      <c r="F491" s="54"/>
      <c r="G491" s="54"/>
      <c r="H491" s="54"/>
      <c r="I491" s="800"/>
      <c r="J491" s="800"/>
    </row>
    <row r="492" spans="3:10" ht="15.75">
      <c r="C492" s="440"/>
      <c r="D492" s="440"/>
      <c r="E492" s="1"/>
      <c r="F492" s="54"/>
      <c r="G492" s="54"/>
      <c r="H492" s="54"/>
      <c r="I492" s="800"/>
      <c r="J492" s="800"/>
    </row>
    <row r="493" spans="3:10" ht="15.75">
      <c r="C493" s="440"/>
      <c r="D493" s="440"/>
      <c r="E493" s="1"/>
      <c r="F493" s="54"/>
      <c r="G493" s="54"/>
      <c r="H493" s="54"/>
      <c r="I493" s="800"/>
      <c r="J493" s="800"/>
    </row>
    <row r="494" spans="3:10" ht="15.75">
      <c r="C494" s="440"/>
      <c r="D494" s="440"/>
      <c r="E494" s="1"/>
      <c r="F494" s="54"/>
      <c r="G494" s="54"/>
      <c r="H494" s="54"/>
      <c r="I494" s="800"/>
      <c r="J494" s="800"/>
    </row>
    <row r="495" spans="3:10" ht="15.75">
      <c r="C495" s="440"/>
      <c r="D495" s="440"/>
      <c r="E495" s="1"/>
      <c r="F495" s="54"/>
      <c r="G495" s="54"/>
      <c r="H495" s="54"/>
      <c r="I495" s="800"/>
      <c r="J495" s="800"/>
    </row>
    <row r="496" spans="3:10" ht="15.75">
      <c r="C496" s="440"/>
      <c r="D496" s="440"/>
      <c r="E496" s="1"/>
      <c r="F496" s="54"/>
      <c r="G496" s="54"/>
      <c r="H496" s="54"/>
      <c r="I496" s="800"/>
      <c r="J496" s="800"/>
    </row>
    <row r="497" spans="3:10" ht="15.75">
      <c r="C497" s="440"/>
      <c r="D497" s="440"/>
      <c r="E497" s="1"/>
      <c r="F497" s="54"/>
      <c r="G497" s="54"/>
      <c r="H497" s="54"/>
      <c r="I497" s="800"/>
      <c r="J497" s="800"/>
    </row>
    <row r="498" spans="3:10" ht="15.75">
      <c r="C498" s="440"/>
      <c r="D498" s="440"/>
      <c r="E498" s="1"/>
      <c r="F498" s="54"/>
      <c r="G498" s="54"/>
      <c r="H498" s="54"/>
      <c r="I498" s="800"/>
      <c r="J498" s="800"/>
    </row>
    <row r="499" spans="3:10" ht="15.75">
      <c r="C499" s="440"/>
      <c r="D499" s="440"/>
      <c r="E499" s="1"/>
      <c r="F499" s="54"/>
      <c r="G499" s="54"/>
      <c r="H499" s="54"/>
      <c r="I499" s="800"/>
      <c r="J499" s="800"/>
    </row>
    <row r="500" spans="3:10" ht="15.75">
      <c r="C500" s="440"/>
      <c r="D500" s="440"/>
      <c r="E500" s="1"/>
      <c r="F500" s="54"/>
      <c r="G500" s="54"/>
      <c r="H500" s="54"/>
      <c r="I500" s="800"/>
      <c r="J500" s="800"/>
    </row>
    <row r="501" spans="3:10" ht="15.75">
      <c r="C501" s="440"/>
      <c r="D501" s="440"/>
      <c r="E501" s="1"/>
      <c r="F501" s="54"/>
      <c r="G501" s="54"/>
      <c r="H501" s="54"/>
      <c r="I501" s="800"/>
      <c r="J501" s="800"/>
    </row>
    <row r="502" spans="3:10" ht="15.75">
      <c r="C502" s="440"/>
      <c r="D502" s="440"/>
      <c r="E502" s="1"/>
      <c r="F502" s="54"/>
      <c r="G502" s="54"/>
      <c r="H502" s="54"/>
      <c r="I502" s="800"/>
      <c r="J502" s="800"/>
    </row>
    <row r="503" spans="3:10" ht="15.75">
      <c r="C503" s="440"/>
      <c r="D503" s="440"/>
      <c r="E503" s="1"/>
      <c r="F503" s="54"/>
      <c r="G503" s="54"/>
      <c r="H503" s="54"/>
      <c r="I503" s="800"/>
      <c r="J503" s="800"/>
    </row>
    <row r="504" spans="3:10" ht="15.75">
      <c r="C504" s="440"/>
      <c r="D504" s="440"/>
      <c r="E504" s="1"/>
      <c r="F504" s="54"/>
      <c r="G504" s="54"/>
      <c r="H504" s="54"/>
      <c r="I504" s="800"/>
      <c r="J504" s="800"/>
    </row>
    <row r="505" spans="3:10" ht="15.75">
      <c r="C505" s="440"/>
      <c r="D505" s="440"/>
      <c r="E505" s="1"/>
      <c r="F505" s="54"/>
      <c r="G505" s="54"/>
      <c r="H505" s="54"/>
      <c r="I505" s="800"/>
      <c r="J505" s="800"/>
    </row>
    <row r="506" spans="3:10" ht="15.75">
      <c r="C506" s="440"/>
      <c r="D506" s="440"/>
      <c r="E506" s="1"/>
      <c r="F506" s="54"/>
      <c r="G506" s="54"/>
      <c r="H506" s="54"/>
      <c r="I506" s="800"/>
      <c r="J506" s="800"/>
    </row>
    <row r="507" spans="3:10" ht="15.75">
      <c r="C507" s="440"/>
      <c r="D507" s="440"/>
      <c r="E507" s="1"/>
      <c r="F507" s="54"/>
      <c r="G507" s="54"/>
      <c r="H507" s="54"/>
      <c r="I507" s="800"/>
      <c r="J507" s="800"/>
    </row>
    <row r="508" spans="3:10" ht="15.75">
      <c r="C508" s="440"/>
      <c r="D508" s="440"/>
      <c r="E508" s="1"/>
      <c r="F508" s="54"/>
      <c r="G508" s="54"/>
      <c r="H508" s="54"/>
      <c r="I508" s="800"/>
      <c r="J508" s="800"/>
    </row>
    <row r="509" spans="3:10" ht="15.75">
      <c r="C509" s="440"/>
      <c r="D509" s="440"/>
      <c r="E509" s="1"/>
      <c r="F509" s="54"/>
      <c r="G509" s="54"/>
      <c r="H509" s="54"/>
      <c r="I509" s="800"/>
      <c r="J509" s="800"/>
    </row>
    <row r="510" spans="3:10" ht="15.75">
      <c r="C510" s="440"/>
      <c r="D510" s="440"/>
      <c r="E510" s="1"/>
      <c r="F510" s="54"/>
      <c r="G510" s="54"/>
      <c r="H510" s="54"/>
      <c r="I510" s="800"/>
      <c r="J510" s="800"/>
    </row>
    <row r="511" spans="3:10" ht="15.75">
      <c r="C511" s="440"/>
      <c r="D511" s="440"/>
      <c r="E511" s="1"/>
      <c r="F511" s="54"/>
      <c r="G511" s="54"/>
      <c r="H511" s="54"/>
      <c r="I511" s="800"/>
      <c r="J511" s="800"/>
    </row>
    <row r="512" spans="3:10" ht="15.75">
      <c r="C512" s="440"/>
      <c r="D512" s="440"/>
      <c r="E512" s="1"/>
      <c r="F512" s="54"/>
      <c r="G512" s="54"/>
      <c r="H512" s="54"/>
      <c r="I512" s="800"/>
      <c r="J512" s="800"/>
    </row>
    <row r="513" spans="3:10" ht="15.75">
      <c r="C513" s="440"/>
      <c r="D513" s="440"/>
      <c r="E513" s="1"/>
      <c r="F513" s="54"/>
      <c r="G513" s="54"/>
      <c r="H513" s="54"/>
      <c r="I513" s="800"/>
      <c r="J513" s="800"/>
    </row>
    <row r="514" spans="3:10" ht="15.75">
      <c r="C514" s="440"/>
      <c r="D514" s="440"/>
      <c r="E514" s="1"/>
      <c r="F514" s="54"/>
      <c r="G514" s="54"/>
      <c r="H514" s="54"/>
      <c r="I514" s="800"/>
      <c r="J514" s="800"/>
    </row>
    <row r="515" spans="3:10" ht="15.75">
      <c r="C515" s="440"/>
      <c r="D515" s="440"/>
      <c r="E515" s="1"/>
      <c r="F515" s="54"/>
      <c r="G515" s="54"/>
      <c r="H515" s="54"/>
      <c r="I515" s="800"/>
      <c r="J515" s="800"/>
    </row>
    <row r="516" spans="3:10" ht="15.75">
      <c r="C516" s="440"/>
      <c r="D516" s="440"/>
      <c r="E516" s="1"/>
      <c r="F516" s="54"/>
      <c r="G516" s="54"/>
      <c r="H516" s="54"/>
      <c r="I516" s="800"/>
      <c r="J516" s="800"/>
    </row>
    <row r="517" spans="3:10" ht="15.75">
      <c r="C517" s="440"/>
      <c r="D517" s="440"/>
      <c r="E517" s="1"/>
      <c r="F517" s="54"/>
      <c r="G517" s="54"/>
      <c r="H517" s="54"/>
      <c r="I517" s="800"/>
      <c r="J517" s="800"/>
    </row>
    <row r="518" spans="3:10" ht="15.75">
      <c r="C518" s="440"/>
      <c r="D518" s="440"/>
      <c r="E518" s="1"/>
      <c r="F518" s="54"/>
      <c r="G518" s="54"/>
      <c r="H518" s="54"/>
      <c r="I518" s="800"/>
      <c r="J518" s="800"/>
    </row>
    <row r="519" spans="3:10" ht="15.75">
      <c r="C519" s="440"/>
      <c r="D519" s="440"/>
      <c r="E519" s="1"/>
      <c r="F519" s="54"/>
      <c r="G519" s="54"/>
      <c r="H519" s="54"/>
      <c r="I519" s="800"/>
      <c r="J519" s="800"/>
    </row>
    <row r="520" spans="3:10" ht="15.75">
      <c r="C520" s="440"/>
      <c r="D520" s="440"/>
      <c r="E520" s="1"/>
      <c r="F520" s="54"/>
      <c r="G520" s="54"/>
      <c r="H520" s="54"/>
      <c r="I520" s="800"/>
      <c r="J520" s="800"/>
    </row>
    <row r="521" spans="3:10" ht="15.75">
      <c r="C521" s="440"/>
      <c r="D521" s="440"/>
      <c r="E521" s="1"/>
      <c r="F521" s="54"/>
      <c r="G521" s="54"/>
      <c r="H521" s="54"/>
      <c r="I521" s="800"/>
      <c r="J521" s="800"/>
    </row>
    <row r="522" spans="3:10" ht="15.75">
      <c r="C522" s="440"/>
      <c r="D522" s="440"/>
      <c r="E522" s="1"/>
      <c r="F522" s="54"/>
      <c r="G522" s="54"/>
      <c r="H522" s="54"/>
      <c r="I522" s="800"/>
      <c r="J522" s="800"/>
    </row>
    <row r="523" spans="3:10" ht="15.75">
      <c r="C523" s="440"/>
      <c r="D523" s="440"/>
      <c r="E523" s="1"/>
      <c r="F523" s="54"/>
      <c r="G523" s="54"/>
      <c r="H523" s="54"/>
      <c r="I523" s="800"/>
      <c r="J523" s="800"/>
    </row>
    <row r="524" spans="3:10" ht="15.75">
      <c r="C524" s="440"/>
      <c r="D524" s="440"/>
      <c r="E524" s="1"/>
      <c r="F524" s="54"/>
      <c r="G524" s="54"/>
      <c r="H524" s="54"/>
      <c r="I524" s="800"/>
      <c r="J524" s="800"/>
    </row>
    <row r="525" spans="3:10" ht="15.75">
      <c r="C525" s="440"/>
      <c r="D525" s="440"/>
      <c r="E525" s="1"/>
      <c r="F525" s="54"/>
      <c r="G525" s="54"/>
      <c r="H525" s="54"/>
      <c r="I525" s="800"/>
      <c r="J525" s="800"/>
    </row>
    <row r="526" spans="3:10" ht="15.75">
      <c r="C526" s="440"/>
      <c r="D526" s="440"/>
      <c r="E526" s="1"/>
      <c r="F526" s="54"/>
      <c r="G526" s="54"/>
      <c r="H526" s="54"/>
      <c r="I526" s="800"/>
      <c r="J526" s="800"/>
    </row>
    <row r="527" spans="3:10" ht="15.75">
      <c r="C527" s="440"/>
      <c r="D527" s="440"/>
      <c r="E527" s="1"/>
      <c r="F527" s="54"/>
      <c r="G527" s="54"/>
      <c r="H527" s="54"/>
      <c r="I527" s="800"/>
      <c r="J527" s="800"/>
    </row>
    <row r="528" spans="3:10" ht="15.75">
      <c r="C528" s="440"/>
      <c r="D528" s="440"/>
      <c r="E528" s="1"/>
      <c r="F528" s="54"/>
      <c r="G528" s="54"/>
      <c r="H528" s="54"/>
      <c r="I528" s="800"/>
      <c r="J528" s="800"/>
    </row>
    <row r="529" spans="3:10" ht="15.75">
      <c r="C529" s="440"/>
      <c r="D529" s="440"/>
      <c r="E529" s="1"/>
      <c r="F529" s="54"/>
      <c r="G529" s="54"/>
      <c r="H529" s="54"/>
      <c r="I529" s="800"/>
      <c r="J529" s="800"/>
    </row>
    <row r="530" spans="3:10" ht="15.75">
      <c r="C530" s="440"/>
      <c r="D530" s="440"/>
      <c r="E530" s="1"/>
      <c r="F530" s="54"/>
      <c r="G530" s="54"/>
      <c r="H530" s="54"/>
      <c r="I530" s="800"/>
      <c r="J530" s="800"/>
    </row>
    <row r="531" spans="3:10" ht="15.75">
      <c r="C531" s="440"/>
      <c r="D531" s="440"/>
      <c r="E531" s="1"/>
      <c r="F531" s="54"/>
      <c r="G531" s="54"/>
      <c r="H531" s="54"/>
      <c r="I531" s="800"/>
      <c r="J531" s="800"/>
    </row>
    <row r="532" spans="3:10" ht="15.75">
      <c r="C532" s="440"/>
      <c r="D532" s="440"/>
      <c r="E532" s="1"/>
      <c r="F532" s="54"/>
      <c r="G532" s="54"/>
      <c r="H532" s="54"/>
      <c r="I532" s="800"/>
      <c r="J532" s="800"/>
    </row>
    <row r="533" spans="3:10" ht="15.75">
      <c r="C533" s="440"/>
      <c r="D533" s="440"/>
      <c r="E533" s="1"/>
      <c r="F533" s="54"/>
      <c r="G533" s="54"/>
      <c r="H533" s="54"/>
      <c r="I533" s="800"/>
      <c r="J533" s="800"/>
    </row>
    <row r="534" spans="3:10" ht="15.75">
      <c r="C534" s="440"/>
      <c r="D534" s="440"/>
      <c r="E534" s="1"/>
      <c r="F534" s="54"/>
      <c r="G534" s="54"/>
      <c r="H534" s="54"/>
      <c r="I534" s="800"/>
      <c r="J534" s="800"/>
    </row>
    <row r="535" spans="3:10" ht="15.75">
      <c r="C535" s="440"/>
      <c r="D535" s="440"/>
      <c r="E535" s="1"/>
      <c r="F535" s="54"/>
      <c r="G535" s="54"/>
      <c r="H535" s="54"/>
      <c r="I535" s="800"/>
      <c r="J535" s="800"/>
    </row>
    <row r="536" spans="3:10" ht="15.75">
      <c r="C536" s="440"/>
      <c r="D536" s="440"/>
      <c r="E536" s="1"/>
      <c r="F536" s="54"/>
      <c r="G536" s="54"/>
      <c r="H536" s="54"/>
      <c r="I536" s="800"/>
      <c r="J536" s="800"/>
    </row>
    <row r="537" spans="3:10" ht="15.75">
      <c r="C537" s="440"/>
      <c r="D537" s="440"/>
      <c r="E537" s="1"/>
      <c r="F537" s="54"/>
      <c r="G537" s="54"/>
      <c r="H537" s="54"/>
      <c r="I537" s="800"/>
      <c r="J537" s="800"/>
    </row>
    <row r="538" spans="3:10" ht="15.75">
      <c r="C538" s="440"/>
      <c r="D538" s="440"/>
      <c r="E538" s="1"/>
      <c r="F538" s="54"/>
      <c r="G538" s="54"/>
      <c r="H538" s="54"/>
      <c r="I538" s="800"/>
      <c r="J538" s="800"/>
    </row>
    <row r="539" spans="3:10" ht="15.75">
      <c r="C539" s="440"/>
      <c r="D539" s="440"/>
      <c r="E539" s="1"/>
      <c r="F539" s="54"/>
      <c r="G539" s="54"/>
      <c r="H539" s="54"/>
      <c r="I539" s="800"/>
      <c r="J539" s="800"/>
    </row>
    <row r="540" spans="3:10" ht="15.75">
      <c r="C540" s="440"/>
      <c r="D540" s="440"/>
      <c r="E540" s="1"/>
      <c r="F540" s="54"/>
      <c r="G540" s="54"/>
      <c r="H540" s="54"/>
      <c r="I540" s="800"/>
      <c r="J540" s="800"/>
    </row>
    <row r="541" spans="3:10" ht="15.75">
      <c r="C541" s="440"/>
      <c r="D541" s="440"/>
      <c r="E541" s="1"/>
      <c r="F541" s="54"/>
      <c r="G541" s="54"/>
      <c r="H541" s="54"/>
      <c r="I541" s="800"/>
      <c r="J541" s="800"/>
    </row>
    <row r="542" spans="3:10" ht="15.75">
      <c r="C542" s="440"/>
      <c r="D542" s="440"/>
      <c r="E542" s="1"/>
      <c r="F542" s="54"/>
      <c r="G542" s="54"/>
      <c r="H542" s="54"/>
      <c r="I542" s="800"/>
      <c r="J542" s="800"/>
    </row>
    <row r="543" spans="3:10" ht="15.75">
      <c r="C543" s="440"/>
      <c r="D543" s="440"/>
      <c r="E543" s="1"/>
      <c r="F543" s="54"/>
      <c r="G543" s="54"/>
      <c r="H543" s="54"/>
      <c r="I543" s="800"/>
      <c r="J543" s="800"/>
    </row>
    <row r="544" spans="3:10" ht="15.75">
      <c r="C544" s="440"/>
      <c r="D544" s="440"/>
      <c r="E544" s="1"/>
      <c r="F544" s="54"/>
      <c r="G544" s="54"/>
      <c r="H544" s="54"/>
      <c r="I544" s="800"/>
      <c r="J544" s="800"/>
    </row>
    <row r="545" spans="3:10" ht="15.75">
      <c r="C545" s="440"/>
      <c r="D545" s="440"/>
      <c r="E545" s="1"/>
      <c r="F545" s="54"/>
      <c r="G545" s="54"/>
      <c r="H545" s="54"/>
      <c r="I545" s="800"/>
      <c r="J545" s="800"/>
    </row>
    <row r="546" spans="3:10" ht="15.75">
      <c r="C546" s="440"/>
      <c r="D546" s="440"/>
      <c r="E546" s="1"/>
      <c r="F546" s="54"/>
      <c r="G546" s="54"/>
      <c r="H546" s="54"/>
      <c r="I546" s="800"/>
      <c r="J546" s="800"/>
    </row>
    <row r="547" spans="3:10" ht="15.75">
      <c r="C547" s="440"/>
      <c r="D547" s="440"/>
      <c r="E547" s="1"/>
      <c r="F547" s="54"/>
      <c r="G547" s="54"/>
      <c r="H547" s="54"/>
      <c r="I547" s="800"/>
      <c r="J547" s="800"/>
    </row>
    <row r="548" spans="3:10" ht="15.75">
      <c r="C548" s="440"/>
      <c r="D548" s="440"/>
      <c r="E548" s="1"/>
      <c r="F548" s="54"/>
      <c r="G548" s="54"/>
      <c r="H548" s="54"/>
      <c r="I548" s="800"/>
      <c r="J548" s="800"/>
    </row>
    <row r="549" spans="3:10" ht="15.75">
      <c r="C549" s="440"/>
      <c r="D549" s="440"/>
      <c r="E549" s="1"/>
      <c r="F549" s="54"/>
      <c r="G549" s="54"/>
      <c r="H549" s="54"/>
      <c r="I549" s="800"/>
      <c r="J549" s="800"/>
    </row>
    <row r="550" spans="3:10" ht="15.75">
      <c r="C550" s="440"/>
      <c r="D550" s="440"/>
      <c r="E550" s="1"/>
      <c r="F550" s="54"/>
      <c r="G550" s="54"/>
      <c r="H550" s="54"/>
      <c r="I550" s="800"/>
      <c r="J550" s="800"/>
    </row>
    <row r="551" spans="3:10" ht="15.75">
      <c r="C551" s="440"/>
      <c r="D551" s="440"/>
      <c r="E551" s="1"/>
      <c r="F551" s="54"/>
      <c r="G551" s="54"/>
      <c r="H551" s="54"/>
      <c r="I551" s="800"/>
      <c r="J551" s="800"/>
    </row>
    <row r="552" spans="3:10" ht="15.75">
      <c r="C552" s="440"/>
      <c r="D552" s="440"/>
      <c r="E552" s="1"/>
      <c r="F552" s="54"/>
      <c r="G552" s="54"/>
      <c r="H552" s="54"/>
      <c r="I552" s="800"/>
      <c r="J552" s="800"/>
    </row>
    <row r="553" spans="3:10" ht="15.75">
      <c r="C553" s="440"/>
      <c r="D553" s="440"/>
      <c r="E553" s="1"/>
      <c r="F553" s="54"/>
      <c r="G553" s="54"/>
      <c r="H553" s="54"/>
      <c r="I553" s="800"/>
      <c r="J553" s="800"/>
    </row>
    <row r="554" spans="3:10" ht="15.75">
      <c r="C554" s="440"/>
      <c r="D554" s="440"/>
      <c r="E554" s="1"/>
      <c r="F554" s="54"/>
      <c r="G554" s="54"/>
      <c r="H554" s="54"/>
      <c r="I554" s="800"/>
      <c r="J554" s="800"/>
    </row>
    <row r="555" spans="3:10" ht="15.75">
      <c r="C555" s="440"/>
      <c r="D555" s="440"/>
      <c r="E555" s="1"/>
      <c r="F555" s="54"/>
      <c r="G555" s="54"/>
      <c r="H555" s="54"/>
      <c r="I555" s="800"/>
      <c r="J555" s="800"/>
    </row>
    <row r="556" spans="3:10" ht="15.75">
      <c r="C556" s="440"/>
      <c r="D556" s="440"/>
      <c r="E556" s="1"/>
      <c r="F556" s="54"/>
      <c r="G556" s="54"/>
      <c r="H556" s="54"/>
      <c r="I556" s="800"/>
      <c r="J556" s="800"/>
    </row>
    <row r="557" spans="3:10" ht="15.75">
      <c r="C557" s="440"/>
      <c r="D557" s="440"/>
      <c r="E557" s="1"/>
      <c r="F557" s="54"/>
      <c r="G557" s="54"/>
      <c r="H557" s="54"/>
      <c r="I557" s="800"/>
      <c r="J557" s="800"/>
    </row>
    <row r="558" spans="3:10" ht="15.75">
      <c r="C558" s="440"/>
      <c r="D558" s="440"/>
      <c r="E558" s="1"/>
      <c r="F558" s="54"/>
      <c r="G558" s="54"/>
      <c r="H558" s="54"/>
      <c r="I558" s="800"/>
      <c r="J558" s="800"/>
    </row>
    <row r="559" spans="3:10" ht="15.75">
      <c r="C559" s="440"/>
      <c r="D559" s="440"/>
      <c r="E559" s="1"/>
      <c r="F559" s="54"/>
      <c r="G559" s="54"/>
      <c r="H559" s="54"/>
      <c r="I559" s="800"/>
      <c r="J559" s="800"/>
    </row>
    <row r="560" spans="3:10" ht="15.75">
      <c r="C560" s="440"/>
      <c r="D560" s="440"/>
      <c r="E560" s="1"/>
      <c r="F560" s="54"/>
      <c r="G560" s="54"/>
      <c r="H560" s="54"/>
      <c r="I560" s="800"/>
      <c r="J560" s="800"/>
    </row>
    <row r="561" spans="3:10" ht="15.75">
      <c r="C561" s="440"/>
      <c r="D561" s="440"/>
      <c r="E561" s="1"/>
      <c r="F561" s="54"/>
      <c r="G561" s="54"/>
      <c r="H561" s="54"/>
      <c r="I561" s="800"/>
      <c r="J561" s="800"/>
    </row>
    <row r="562" spans="3:10" ht="15.75">
      <c r="C562" s="440"/>
      <c r="D562" s="440"/>
      <c r="E562" s="1"/>
      <c r="F562" s="54"/>
      <c r="G562" s="54"/>
      <c r="H562" s="54"/>
      <c r="I562" s="800"/>
      <c r="J562" s="800"/>
    </row>
    <row r="563" spans="3:10" ht="15.75">
      <c r="C563" s="440"/>
      <c r="D563" s="440"/>
      <c r="E563" s="1"/>
      <c r="F563" s="54"/>
      <c r="G563" s="54"/>
      <c r="H563" s="54"/>
      <c r="I563" s="800"/>
      <c r="J563" s="800"/>
    </row>
    <row r="564" spans="3:10" ht="15.75">
      <c r="C564" s="440"/>
      <c r="D564" s="440"/>
      <c r="E564" s="1"/>
      <c r="F564" s="54"/>
      <c r="G564" s="54"/>
      <c r="H564" s="54"/>
      <c r="I564" s="800"/>
      <c r="J564" s="800"/>
    </row>
    <row r="565" spans="3:10" ht="15.75">
      <c r="C565" s="440"/>
      <c r="D565" s="440"/>
      <c r="E565" s="1"/>
      <c r="F565" s="54"/>
      <c r="G565" s="54"/>
      <c r="H565" s="54"/>
      <c r="I565" s="800"/>
      <c r="J565" s="800"/>
    </row>
    <row r="566" spans="3:10" ht="15.75">
      <c r="C566" s="440"/>
      <c r="D566" s="440"/>
      <c r="E566" s="1"/>
      <c r="F566" s="54"/>
      <c r="G566" s="54"/>
      <c r="H566" s="54"/>
      <c r="I566" s="800"/>
      <c r="J566" s="800"/>
    </row>
    <row r="567" spans="3:10" ht="15.75">
      <c r="C567" s="440"/>
      <c r="D567" s="440"/>
      <c r="E567" s="1"/>
      <c r="F567" s="54"/>
      <c r="G567" s="54"/>
      <c r="H567" s="54"/>
      <c r="I567" s="800"/>
      <c r="J567" s="800"/>
    </row>
    <row r="568" spans="3:10" ht="15.75">
      <c r="C568" s="440"/>
      <c r="D568" s="440"/>
      <c r="E568" s="1"/>
      <c r="F568" s="54"/>
      <c r="G568" s="54"/>
      <c r="H568" s="54"/>
      <c r="I568" s="800"/>
      <c r="J568" s="800"/>
    </row>
    <row r="569" spans="3:10" ht="15.75">
      <c r="C569" s="440"/>
      <c r="D569" s="440"/>
      <c r="E569" s="1"/>
      <c r="F569" s="54"/>
      <c r="G569" s="54"/>
      <c r="H569" s="54"/>
      <c r="I569" s="800"/>
      <c r="J569" s="800"/>
    </row>
    <row r="570" spans="3:10" ht="15.75">
      <c r="C570" s="440"/>
      <c r="D570" s="440"/>
      <c r="E570" s="1"/>
      <c r="F570" s="54"/>
      <c r="G570" s="54"/>
      <c r="H570" s="54"/>
      <c r="I570" s="800"/>
      <c r="J570" s="800"/>
    </row>
    <row r="571" spans="3:10" ht="15.75">
      <c r="C571" s="440"/>
      <c r="D571" s="440"/>
      <c r="E571" s="1"/>
      <c r="F571" s="54"/>
      <c r="G571" s="54"/>
      <c r="H571" s="54"/>
      <c r="I571" s="800"/>
      <c r="J571" s="800"/>
    </row>
    <row r="572" spans="3:10" ht="15.75">
      <c r="C572" s="440"/>
      <c r="D572" s="440"/>
      <c r="E572" s="1"/>
      <c r="F572" s="54"/>
      <c r="G572" s="54"/>
      <c r="H572" s="54"/>
      <c r="I572" s="800"/>
      <c r="J572" s="800"/>
    </row>
    <row r="573" spans="3:10" ht="15.75">
      <c r="C573" s="440"/>
      <c r="D573" s="440"/>
      <c r="E573" s="1"/>
      <c r="F573" s="54"/>
      <c r="G573" s="54"/>
      <c r="H573" s="54"/>
      <c r="I573" s="800"/>
      <c r="J573" s="800"/>
    </row>
    <row r="574" spans="3:10" ht="15.75">
      <c r="C574" s="440"/>
      <c r="D574" s="440"/>
      <c r="E574" s="1"/>
      <c r="F574" s="54"/>
      <c r="G574" s="54"/>
      <c r="H574" s="54"/>
      <c r="I574" s="800"/>
      <c r="J574" s="800"/>
    </row>
    <row r="575" spans="3:10" ht="15.75">
      <c r="C575" s="440"/>
      <c r="D575" s="440"/>
      <c r="E575" s="1"/>
      <c r="F575" s="54"/>
      <c r="G575" s="54"/>
      <c r="H575" s="54"/>
      <c r="I575" s="800"/>
      <c r="J575" s="800"/>
    </row>
    <row r="576" spans="3:10" ht="15.75">
      <c r="C576" s="440"/>
      <c r="D576" s="440"/>
      <c r="E576" s="1"/>
      <c r="F576" s="54"/>
      <c r="G576" s="54"/>
      <c r="H576" s="54"/>
      <c r="I576" s="800"/>
      <c r="J576" s="800"/>
    </row>
    <row r="577" spans="3:10" ht="15.75">
      <c r="C577" s="440"/>
      <c r="D577" s="440"/>
      <c r="E577" s="1"/>
      <c r="F577" s="54"/>
      <c r="G577" s="54"/>
      <c r="H577" s="54"/>
      <c r="I577" s="800"/>
      <c r="J577" s="800"/>
    </row>
    <row r="578" spans="3:10" ht="15.75">
      <c r="C578" s="440"/>
      <c r="D578" s="440"/>
      <c r="E578" s="1"/>
      <c r="F578" s="54"/>
      <c r="G578" s="54"/>
      <c r="H578" s="54"/>
      <c r="I578" s="800"/>
      <c r="J578" s="800"/>
    </row>
    <row r="579" spans="3:10" ht="15.75">
      <c r="C579" s="440"/>
      <c r="D579" s="440"/>
      <c r="E579" s="1"/>
      <c r="F579" s="54"/>
      <c r="G579" s="54"/>
      <c r="H579" s="54"/>
      <c r="I579" s="800"/>
      <c r="J579" s="800"/>
    </row>
    <row r="580" spans="3:10" ht="15.75">
      <c r="C580" s="440"/>
      <c r="D580" s="440"/>
      <c r="E580" s="1"/>
      <c r="F580" s="54"/>
      <c r="G580" s="54"/>
      <c r="H580" s="54"/>
      <c r="I580" s="800"/>
      <c r="J580" s="800"/>
    </row>
    <row r="581" spans="3:10" ht="15.75">
      <c r="C581" s="440"/>
      <c r="D581" s="440"/>
      <c r="E581" s="1"/>
      <c r="F581" s="54"/>
      <c r="G581" s="54"/>
      <c r="H581" s="54"/>
      <c r="I581" s="800"/>
      <c r="J581" s="800"/>
    </row>
    <row r="582" spans="3:10" ht="15.75">
      <c r="C582" s="440"/>
      <c r="D582" s="440"/>
      <c r="E582" s="1"/>
      <c r="F582" s="54"/>
      <c r="G582" s="54"/>
      <c r="H582" s="54"/>
      <c r="I582" s="800"/>
      <c r="J582" s="800"/>
    </row>
    <row r="583" spans="3:10" ht="15.75">
      <c r="C583" s="440"/>
      <c r="D583" s="440"/>
      <c r="E583" s="1"/>
      <c r="F583" s="54"/>
      <c r="G583" s="54"/>
      <c r="H583" s="54"/>
      <c r="I583" s="800"/>
      <c r="J583" s="800"/>
    </row>
    <row r="584" spans="3:10" ht="15.75">
      <c r="C584" s="440"/>
      <c r="D584" s="440"/>
      <c r="E584" s="1"/>
      <c r="F584" s="54"/>
      <c r="G584" s="54"/>
      <c r="H584" s="54"/>
      <c r="I584" s="800"/>
      <c r="J584" s="800"/>
    </row>
    <row r="585" spans="3:10" ht="15.75">
      <c r="C585" s="440"/>
      <c r="D585" s="440"/>
      <c r="E585" s="1"/>
      <c r="F585" s="54"/>
      <c r="G585" s="54"/>
      <c r="H585" s="54"/>
      <c r="I585" s="800"/>
      <c r="J585" s="800"/>
    </row>
    <row r="586" spans="3:10" ht="15.75">
      <c r="C586" s="440"/>
      <c r="D586" s="440"/>
      <c r="E586" s="1"/>
      <c r="F586" s="54"/>
      <c r="G586" s="54"/>
      <c r="H586" s="54"/>
      <c r="I586" s="800"/>
      <c r="J586" s="800"/>
    </row>
    <row r="587" spans="3:10" ht="15.75">
      <c r="C587" s="440"/>
      <c r="D587" s="440"/>
      <c r="E587" s="1"/>
      <c r="F587" s="54"/>
      <c r="G587" s="54"/>
      <c r="H587" s="54"/>
      <c r="I587" s="800"/>
      <c r="J587" s="800"/>
    </row>
    <row r="588" spans="3:10" ht="15.75">
      <c r="C588" s="440"/>
      <c r="D588" s="440"/>
      <c r="E588" s="1"/>
      <c r="F588" s="54"/>
      <c r="G588" s="54"/>
      <c r="H588" s="54"/>
      <c r="I588" s="800"/>
      <c r="J588" s="800"/>
    </row>
    <row r="589" spans="3:10" ht="15.75">
      <c r="C589" s="440"/>
      <c r="D589" s="440"/>
      <c r="E589" s="1"/>
      <c r="F589" s="54"/>
      <c r="G589" s="54"/>
      <c r="H589" s="54"/>
      <c r="I589" s="800"/>
      <c r="J589" s="800"/>
    </row>
    <row r="590" spans="3:10" ht="15.75">
      <c r="C590" s="440"/>
      <c r="D590" s="440"/>
      <c r="E590" s="1"/>
      <c r="F590" s="54"/>
      <c r="G590" s="54"/>
      <c r="H590" s="54"/>
      <c r="I590" s="800"/>
      <c r="J590" s="800"/>
    </row>
    <row r="591" spans="3:10" ht="15.75">
      <c r="C591" s="440"/>
      <c r="D591" s="440"/>
      <c r="E591" s="1"/>
      <c r="F591" s="54"/>
      <c r="G591" s="54"/>
      <c r="H591" s="54"/>
      <c r="I591" s="800"/>
      <c r="J591" s="800"/>
    </row>
    <row r="592" spans="3:10" ht="15.75">
      <c r="C592" s="440"/>
      <c r="D592" s="440"/>
      <c r="E592" s="1"/>
      <c r="F592" s="54"/>
      <c r="G592" s="54"/>
      <c r="H592" s="54"/>
      <c r="I592" s="800"/>
      <c r="J592" s="800"/>
    </row>
    <row r="593" spans="3:10" ht="15.75">
      <c r="C593" s="440"/>
      <c r="D593" s="440"/>
      <c r="E593" s="1"/>
      <c r="F593" s="54"/>
      <c r="G593" s="54"/>
      <c r="H593" s="54"/>
      <c r="I593" s="800"/>
      <c r="J593" s="800"/>
    </row>
    <row r="594" spans="3:10" ht="15.75">
      <c r="C594" s="440"/>
      <c r="D594" s="440"/>
      <c r="E594" s="1"/>
      <c r="F594" s="54"/>
      <c r="G594" s="54"/>
      <c r="H594" s="54"/>
      <c r="I594" s="800"/>
      <c r="J594" s="800"/>
    </row>
    <row r="595" spans="3:10" ht="15.75">
      <c r="C595" s="440"/>
      <c r="D595" s="440"/>
      <c r="E595" s="1"/>
      <c r="F595" s="54"/>
      <c r="G595" s="54"/>
      <c r="H595" s="54"/>
      <c r="I595" s="800"/>
      <c r="J595" s="800"/>
    </row>
    <row r="596" spans="3:10" ht="15.75">
      <c r="C596" s="440"/>
      <c r="D596" s="440"/>
      <c r="E596" s="1"/>
      <c r="F596" s="54"/>
      <c r="G596" s="54"/>
      <c r="H596" s="54"/>
      <c r="I596" s="800"/>
      <c r="J596" s="800"/>
    </row>
    <row r="597" spans="3:10" ht="15.75">
      <c r="C597" s="440"/>
      <c r="D597" s="440"/>
      <c r="E597" s="1"/>
      <c r="F597" s="54"/>
      <c r="G597" s="54"/>
      <c r="H597" s="54"/>
      <c r="I597" s="800"/>
      <c r="J597" s="800"/>
    </row>
    <row r="598" spans="3:10" ht="15.75">
      <c r="C598" s="440"/>
      <c r="D598" s="440"/>
      <c r="E598" s="1"/>
      <c r="F598" s="54"/>
      <c r="G598" s="54"/>
      <c r="H598" s="54"/>
      <c r="I598" s="800"/>
      <c r="J598" s="800"/>
    </row>
    <row r="599" spans="3:10" ht="15.75">
      <c r="C599" s="440"/>
      <c r="D599" s="440"/>
      <c r="E599" s="1"/>
      <c r="F599" s="54"/>
      <c r="G599" s="54"/>
      <c r="H599" s="54"/>
      <c r="I599" s="800"/>
      <c r="J599" s="800"/>
    </row>
    <row r="600" spans="3:10" ht="15.75">
      <c r="C600" s="440"/>
      <c r="D600" s="440"/>
      <c r="E600" s="1"/>
      <c r="F600" s="54"/>
      <c r="G600" s="54"/>
      <c r="H600" s="54"/>
      <c r="I600" s="800"/>
      <c r="J600" s="800"/>
    </row>
    <row r="601" spans="3:10" ht="15.75">
      <c r="C601" s="440"/>
      <c r="D601" s="440"/>
      <c r="E601" s="1"/>
      <c r="F601" s="54"/>
      <c r="G601" s="54"/>
      <c r="H601" s="54"/>
      <c r="I601" s="800"/>
      <c r="J601" s="800"/>
    </row>
    <row r="602" spans="3:10" ht="15.75">
      <c r="C602" s="440"/>
      <c r="D602" s="440"/>
      <c r="E602" s="1"/>
      <c r="F602" s="54"/>
      <c r="G602" s="54"/>
      <c r="H602" s="54"/>
      <c r="I602" s="800"/>
      <c r="J602" s="800"/>
    </row>
    <row r="603" spans="3:10" ht="15.75">
      <c r="C603" s="440"/>
      <c r="D603" s="440"/>
      <c r="E603" s="1"/>
      <c r="F603" s="54"/>
      <c r="G603" s="54"/>
      <c r="H603" s="54"/>
      <c r="I603" s="800"/>
      <c r="J603" s="800"/>
    </row>
    <row r="604" spans="3:10" ht="15.75">
      <c r="C604" s="440"/>
      <c r="D604" s="440"/>
      <c r="E604" s="1"/>
      <c r="F604" s="54"/>
      <c r="G604" s="54"/>
      <c r="H604" s="54"/>
      <c r="I604" s="800"/>
      <c r="J604" s="800"/>
    </row>
    <row r="605" spans="3:10" ht="15.75">
      <c r="C605" s="440"/>
      <c r="D605" s="440"/>
      <c r="E605" s="1"/>
      <c r="F605" s="54"/>
      <c r="G605" s="54"/>
      <c r="H605" s="54"/>
      <c r="I605" s="800"/>
      <c r="J605" s="800"/>
    </row>
    <row r="606" spans="3:10" ht="15.75">
      <c r="C606" s="440"/>
      <c r="D606" s="440"/>
      <c r="E606" s="1"/>
      <c r="F606" s="54"/>
      <c r="G606" s="54"/>
      <c r="H606" s="54"/>
      <c r="I606" s="800"/>
      <c r="J606" s="800"/>
    </row>
    <row r="607" spans="3:10" ht="15.75">
      <c r="C607" s="440"/>
      <c r="D607" s="440"/>
      <c r="E607" s="1"/>
      <c r="F607" s="54"/>
      <c r="G607" s="54"/>
      <c r="H607" s="54"/>
      <c r="I607" s="800"/>
      <c r="J607" s="800"/>
    </row>
    <row r="608" spans="3:10" ht="15.75">
      <c r="C608" s="440"/>
      <c r="D608" s="440"/>
      <c r="E608" s="1"/>
      <c r="F608" s="54"/>
      <c r="G608" s="54"/>
      <c r="H608" s="54"/>
      <c r="I608" s="800"/>
      <c r="J608" s="800"/>
    </row>
    <row r="609" spans="3:10" ht="15.75">
      <c r="C609" s="440"/>
      <c r="D609" s="440"/>
      <c r="E609" s="1"/>
      <c r="F609" s="54"/>
      <c r="G609" s="54"/>
      <c r="H609" s="54"/>
      <c r="I609" s="800"/>
      <c r="J609" s="800"/>
    </row>
    <row r="610" spans="3:10" ht="15.75">
      <c r="C610" s="440"/>
      <c r="D610" s="440"/>
      <c r="E610" s="1"/>
      <c r="F610" s="54"/>
      <c r="G610" s="54"/>
      <c r="H610" s="54"/>
      <c r="I610" s="800"/>
      <c r="J610" s="800"/>
    </row>
    <row r="611" spans="3:10" ht="15.75">
      <c r="C611" s="440"/>
      <c r="D611" s="440"/>
      <c r="E611" s="1"/>
      <c r="F611" s="54"/>
      <c r="G611" s="54"/>
      <c r="H611" s="54"/>
      <c r="I611" s="800"/>
      <c r="J611" s="800"/>
    </row>
    <row r="612" spans="3:10" ht="15.75">
      <c r="C612" s="440"/>
      <c r="D612" s="440"/>
      <c r="E612" s="1"/>
      <c r="F612" s="54"/>
      <c r="G612" s="54"/>
      <c r="H612" s="54"/>
      <c r="I612" s="800"/>
      <c r="J612" s="800"/>
    </row>
    <row r="613" spans="3:10" ht="15.75">
      <c r="C613" s="440"/>
      <c r="D613" s="440"/>
      <c r="E613" s="1"/>
      <c r="F613" s="54"/>
      <c r="G613" s="54"/>
      <c r="H613" s="54"/>
      <c r="I613" s="800"/>
      <c r="J613" s="800"/>
    </row>
    <row r="614" spans="3:10" ht="15.75">
      <c r="C614" s="440"/>
      <c r="D614" s="440"/>
      <c r="E614" s="1"/>
      <c r="F614" s="54"/>
      <c r="G614" s="54"/>
      <c r="H614" s="54"/>
      <c r="I614" s="800"/>
      <c r="J614" s="800"/>
    </row>
    <row r="615" spans="3:10" ht="15.75">
      <c r="C615" s="440"/>
      <c r="D615" s="440"/>
      <c r="E615" s="1"/>
      <c r="F615" s="54"/>
      <c r="G615" s="54"/>
      <c r="H615" s="54"/>
      <c r="I615" s="800"/>
      <c r="J615" s="800"/>
    </row>
    <row r="616" spans="3:10" ht="15.75">
      <c r="C616" s="440"/>
      <c r="D616" s="440"/>
      <c r="E616" s="1"/>
      <c r="F616" s="54"/>
      <c r="G616" s="54"/>
      <c r="H616" s="54"/>
      <c r="I616" s="800"/>
      <c r="J616" s="800"/>
    </row>
    <row r="617" spans="3:10" ht="15.75">
      <c r="C617" s="440"/>
      <c r="D617" s="440"/>
      <c r="E617" s="1"/>
      <c r="F617" s="54"/>
      <c r="G617" s="54"/>
      <c r="H617" s="54"/>
      <c r="I617" s="800"/>
      <c r="J617" s="800"/>
    </row>
    <row r="618" spans="3:10" ht="15.75">
      <c r="C618" s="440"/>
      <c r="D618" s="440"/>
      <c r="E618" s="1"/>
      <c r="F618" s="54"/>
      <c r="G618" s="54"/>
      <c r="H618" s="54"/>
      <c r="I618" s="800"/>
      <c r="J618" s="800"/>
    </row>
    <row r="619" spans="3:10" ht="15.75">
      <c r="C619" s="440"/>
      <c r="D619" s="440"/>
      <c r="E619" s="1"/>
      <c r="F619" s="54"/>
      <c r="G619" s="54"/>
      <c r="H619" s="54"/>
      <c r="I619" s="800"/>
      <c r="J619" s="800"/>
    </row>
    <row r="620" spans="3:10" ht="15.75">
      <c r="C620" s="440"/>
      <c r="D620" s="440"/>
      <c r="E620" s="1"/>
      <c r="F620" s="54"/>
      <c r="G620" s="54"/>
      <c r="H620" s="54"/>
      <c r="I620" s="800"/>
      <c r="J620" s="800"/>
    </row>
    <row r="621" spans="3:10" ht="15.75">
      <c r="C621" s="440"/>
      <c r="D621" s="440"/>
      <c r="E621" s="1"/>
      <c r="F621" s="54"/>
      <c r="G621" s="54"/>
      <c r="H621" s="54"/>
      <c r="I621" s="800"/>
      <c r="J621" s="800"/>
    </row>
    <row r="622" spans="3:10" ht="15.75">
      <c r="C622" s="440"/>
      <c r="D622" s="440"/>
      <c r="E622" s="1"/>
      <c r="F622" s="54"/>
      <c r="G622" s="54"/>
      <c r="H622" s="54"/>
      <c r="I622" s="800"/>
      <c r="J622" s="800"/>
    </row>
    <row r="623" spans="3:10" ht="15.75">
      <c r="C623" s="440"/>
      <c r="D623" s="440"/>
      <c r="E623" s="1"/>
      <c r="F623" s="54"/>
      <c r="G623" s="54"/>
      <c r="H623" s="54"/>
      <c r="I623" s="800"/>
      <c r="J623" s="800"/>
    </row>
    <row r="624" spans="3:10" ht="15.75">
      <c r="C624" s="440"/>
      <c r="D624" s="440"/>
      <c r="E624" s="1"/>
      <c r="F624" s="54"/>
      <c r="G624" s="54"/>
      <c r="H624" s="54"/>
      <c r="I624" s="800"/>
      <c r="J624" s="800"/>
    </row>
    <row r="625" spans="3:10" ht="15.75">
      <c r="C625" s="440"/>
      <c r="D625" s="440"/>
      <c r="E625" s="1"/>
      <c r="F625" s="54"/>
      <c r="G625" s="54"/>
      <c r="H625" s="54"/>
      <c r="I625" s="800"/>
      <c r="J625" s="800"/>
    </row>
    <row r="626" spans="3:10" ht="15.75">
      <c r="C626" s="440"/>
      <c r="D626" s="440"/>
      <c r="E626" s="1"/>
      <c r="F626" s="54"/>
      <c r="G626" s="54"/>
      <c r="H626" s="54"/>
      <c r="I626" s="800"/>
      <c r="J626" s="800"/>
    </row>
    <row r="627" spans="3:10" ht="15.75">
      <c r="C627" s="440"/>
      <c r="D627" s="440"/>
      <c r="E627" s="1"/>
      <c r="F627" s="54"/>
      <c r="G627" s="54"/>
      <c r="H627" s="54"/>
      <c r="I627" s="800"/>
      <c r="J627" s="800"/>
    </row>
    <row r="628" spans="3:10" ht="15.75">
      <c r="C628" s="440"/>
      <c r="D628" s="440"/>
      <c r="E628" s="1"/>
      <c r="F628" s="54"/>
      <c r="G628" s="54"/>
      <c r="H628" s="54"/>
      <c r="I628" s="800"/>
      <c r="J628" s="800"/>
    </row>
    <row r="629" spans="3:10" ht="15.75">
      <c r="C629" s="440"/>
      <c r="D629" s="440"/>
      <c r="E629" s="1"/>
      <c r="F629" s="54"/>
      <c r="G629" s="54"/>
      <c r="H629" s="54"/>
      <c r="I629" s="800"/>
      <c r="J629" s="800"/>
    </row>
    <row r="630" spans="3:10" ht="15.75">
      <c r="C630" s="440"/>
      <c r="D630" s="440"/>
      <c r="E630" s="1"/>
      <c r="F630" s="54"/>
      <c r="G630" s="54"/>
      <c r="H630" s="54"/>
      <c r="I630" s="800"/>
      <c r="J630" s="800"/>
    </row>
    <row r="631" spans="3:10" ht="15.75">
      <c r="C631" s="440"/>
      <c r="D631" s="440"/>
      <c r="E631" s="1"/>
      <c r="F631" s="54"/>
      <c r="G631" s="54"/>
      <c r="H631" s="54"/>
      <c r="I631" s="800"/>
      <c r="J631" s="800"/>
    </row>
    <row r="632" spans="3:10" ht="15.75">
      <c r="C632" s="440"/>
      <c r="D632" s="440"/>
      <c r="E632" s="1"/>
      <c r="F632" s="54"/>
      <c r="G632" s="54"/>
      <c r="H632" s="54"/>
      <c r="I632" s="800"/>
      <c r="J632" s="800"/>
    </row>
    <row r="633" spans="3:10" ht="15.75">
      <c r="C633" s="440"/>
      <c r="D633" s="440"/>
      <c r="E633" s="1"/>
      <c r="F633" s="54"/>
      <c r="G633" s="54"/>
      <c r="H633" s="54"/>
      <c r="I633" s="800"/>
      <c r="J633" s="800"/>
    </row>
    <row r="634" spans="3:10" ht="15.75">
      <c r="C634" s="440"/>
      <c r="D634" s="440"/>
      <c r="E634" s="1"/>
      <c r="F634" s="54"/>
      <c r="G634" s="54"/>
      <c r="H634" s="54"/>
      <c r="I634" s="800"/>
      <c r="J634" s="800"/>
    </row>
    <row r="635" spans="3:10" ht="15.75">
      <c r="C635" s="440"/>
      <c r="D635" s="440"/>
      <c r="E635" s="1"/>
      <c r="F635" s="54"/>
      <c r="G635" s="54"/>
      <c r="H635" s="54"/>
      <c r="I635" s="800"/>
      <c r="J635" s="800"/>
    </row>
    <row r="636" spans="3:10" ht="15.75">
      <c r="C636" s="440"/>
      <c r="D636" s="440"/>
      <c r="E636" s="1"/>
      <c r="F636" s="54"/>
      <c r="G636" s="54"/>
      <c r="H636" s="54"/>
      <c r="I636" s="800"/>
      <c r="J636" s="800"/>
    </row>
    <row r="637" spans="3:10" ht="15.75">
      <c r="C637" s="440"/>
      <c r="D637" s="440"/>
      <c r="E637" s="1"/>
      <c r="F637" s="54"/>
      <c r="G637" s="54"/>
      <c r="H637" s="54"/>
      <c r="I637" s="800"/>
      <c r="J637" s="800"/>
    </row>
    <row r="638" spans="3:10" ht="15.75">
      <c r="C638" s="440"/>
      <c r="D638" s="440"/>
      <c r="E638" s="1"/>
      <c r="F638" s="54"/>
      <c r="G638" s="54"/>
      <c r="H638" s="54"/>
      <c r="I638" s="800"/>
      <c r="J638" s="800"/>
    </row>
    <row r="639" spans="3:10" ht="15.75">
      <c r="C639" s="440"/>
      <c r="D639" s="440"/>
      <c r="E639" s="1"/>
      <c r="F639" s="54"/>
      <c r="G639" s="54"/>
      <c r="H639" s="54"/>
      <c r="I639" s="800"/>
      <c r="J639" s="800"/>
    </row>
    <row r="640" spans="3:10" ht="15.75">
      <c r="C640" s="440"/>
      <c r="D640" s="440"/>
      <c r="E640" s="1"/>
      <c r="F640" s="54"/>
      <c r="G640" s="54"/>
      <c r="H640" s="54"/>
      <c r="I640" s="800"/>
      <c r="J640" s="800"/>
    </row>
    <row r="641" spans="3:10" ht="15.75">
      <c r="C641" s="440"/>
      <c r="D641" s="440"/>
      <c r="E641" s="1"/>
      <c r="F641" s="54"/>
      <c r="G641" s="54"/>
      <c r="H641" s="54"/>
      <c r="I641" s="800"/>
      <c r="J641" s="800"/>
    </row>
    <row r="642" spans="3:10" ht="15.75">
      <c r="C642" s="440"/>
      <c r="D642" s="440"/>
      <c r="E642" s="1"/>
      <c r="F642" s="54"/>
      <c r="G642" s="54"/>
      <c r="H642" s="54"/>
      <c r="I642" s="800"/>
      <c r="J642" s="800"/>
    </row>
    <row r="643" spans="3:10" ht="15.75">
      <c r="C643" s="440"/>
      <c r="D643" s="440"/>
      <c r="E643" s="1"/>
      <c r="F643" s="54"/>
      <c r="G643" s="54"/>
      <c r="H643" s="54"/>
      <c r="I643" s="800"/>
      <c r="J643" s="800"/>
    </row>
    <row r="644" spans="3:10" ht="15.75">
      <c r="C644" s="440"/>
      <c r="D644" s="440"/>
      <c r="E644" s="1"/>
      <c r="F644" s="54"/>
      <c r="G644" s="54"/>
      <c r="H644" s="54"/>
      <c r="I644" s="800"/>
      <c r="J644" s="800"/>
    </row>
    <row r="645" spans="3:10" ht="15.75">
      <c r="C645" s="440"/>
      <c r="D645" s="440"/>
      <c r="E645" s="1"/>
      <c r="F645" s="54"/>
      <c r="G645" s="54"/>
      <c r="H645" s="54"/>
      <c r="I645" s="800"/>
      <c r="J645" s="800"/>
    </row>
    <row r="646" spans="3:10" ht="15.75">
      <c r="C646" s="440"/>
      <c r="D646" s="440"/>
      <c r="E646" s="1"/>
      <c r="F646" s="54"/>
      <c r="G646" s="54"/>
      <c r="H646" s="54"/>
      <c r="I646" s="800"/>
      <c r="J646" s="800"/>
    </row>
    <row r="647" spans="3:10" ht="15.75">
      <c r="C647" s="440"/>
      <c r="D647" s="440"/>
      <c r="E647" s="1"/>
      <c r="F647" s="54"/>
      <c r="G647" s="54"/>
      <c r="H647" s="54"/>
      <c r="I647" s="800"/>
      <c r="J647" s="800"/>
    </row>
    <row r="648" spans="3:10" ht="15.75">
      <c r="C648" s="440"/>
      <c r="D648" s="440"/>
      <c r="E648" s="1"/>
      <c r="F648" s="54"/>
      <c r="G648" s="54"/>
      <c r="H648" s="54"/>
      <c r="I648" s="800"/>
      <c r="J648" s="800"/>
    </row>
    <row r="649" spans="3:10" ht="15.75">
      <c r="C649" s="440"/>
      <c r="D649" s="440"/>
      <c r="E649" s="1"/>
      <c r="F649" s="54"/>
      <c r="G649" s="54"/>
      <c r="H649" s="54"/>
      <c r="I649" s="800"/>
      <c r="J649" s="800"/>
    </row>
    <row r="650" spans="3:10" ht="15.75">
      <c r="C650" s="440"/>
      <c r="D650" s="440"/>
      <c r="E650" s="1"/>
      <c r="F650" s="54"/>
      <c r="G650" s="54"/>
      <c r="H650" s="54"/>
      <c r="I650" s="800"/>
      <c r="J650" s="800"/>
    </row>
    <row r="651" spans="3:10" ht="15.75">
      <c r="C651" s="440"/>
      <c r="D651" s="440"/>
      <c r="E651" s="1"/>
      <c r="F651" s="54"/>
      <c r="G651" s="54"/>
      <c r="H651" s="54"/>
      <c r="I651" s="800"/>
      <c r="J651" s="800"/>
    </row>
    <row r="652" spans="3:10" ht="15.75">
      <c r="C652" s="440"/>
      <c r="D652" s="440"/>
      <c r="E652" s="1"/>
      <c r="F652" s="54"/>
      <c r="G652" s="54"/>
      <c r="H652" s="54"/>
      <c r="I652" s="800"/>
      <c r="J652" s="800"/>
    </row>
    <row r="653" spans="3:10" ht="15.75">
      <c r="C653" s="440"/>
      <c r="D653" s="440"/>
      <c r="E653" s="1"/>
      <c r="F653" s="54"/>
      <c r="G653" s="54"/>
      <c r="H653" s="54"/>
      <c r="I653" s="800"/>
      <c r="J653" s="800"/>
    </row>
    <row r="654" spans="3:10" ht="15.75">
      <c r="C654" s="440"/>
      <c r="D654" s="440"/>
      <c r="E654" s="1"/>
      <c r="F654" s="54"/>
      <c r="G654" s="54"/>
      <c r="H654" s="54"/>
      <c r="I654" s="800"/>
      <c r="J654" s="800"/>
    </row>
    <row r="655" spans="3:10" ht="15.75">
      <c r="C655" s="440"/>
      <c r="D655" s="440"/>
      <c r="E655" s="1"/>
      <c r="F655" s="54"/>
      <c r="G655" s="54"/>
      <c r="H655" s="54"/>
      <c r="I655" s="800"/>
      <c r="J655" s="800"/>
    </row>
    <row r="656" spans="3:10" ht="15.75">
      <c r="C656" s="440"/>
      <c r="D656" s="440"/>
      <c r="E656" s="1"/>
      <c r="F656" s="54"/>
      <c r="G656" s="54"/>
      <c r="H656" s="54"/>
      <c r="I656" s="800"/>
      <c r="J656" s="800"/>
    </row>
    <row r="657" spans="3:10" ht="15.75">
      <c r="C657" s="440"/>
      <c r="D657" s="440"/>
      <c r="E657" s="1"/>
      <c r="F657" s="54"/>
      <c r="G657" s="54"/>
      <c r="H657" s="54"/>
      <c r="I657" s="800"/>
      <c r="J657" s="800"/>
    </row>
    <row r="658" spans="3:10" ht="15.75">
      <c r="C658" s="440"/>
      <c r="D658" s="440"/>
      <c r="E658" s="1"/>
      <c r="F658" s="54"/>
      <c r="G658" s="54"/>
      <c r="H658" s="54"/>
      <c r="I658" s="800"/>
      <c r="J658" s="800"/>
    </row>
    <row r="659" spans="3:10" ht="15.75">
      <c r="C659" s="440"/>
      <c r="D659" s="440"/>
      <c r="E659" s="1"/>
      <c r="F659" s="54"/>
      <c r="G659" s="54"/>
      <c r="H659" s="54"/>
      <c r="I659" s="800"/>
      <c r="J659" s="800"/>
    </row>
    <row r="660" spans="3:10" ht="15.75">
      <c r="C660" s="440"/>
      <c r="D660" s="440"/>
      <c r="E660" s="1"/>
      <c r="F660" s="54"/>
      <c r="G660" s="54"/>
      <c r="H660" s="54"/>
      <c r="I660" s="800"/>
      <c r="J660" s="800"/>
    </row>
    <row r="661" spans="3:10" ht="15.75">
      <c r="C661" s="440"/>
      <c r="D661" s="440"/>
      <c r="E661" s="1"/>
      <c r="F661" s="54"/>
      <c r="G661" s="54"/>
      <c r="H661" s="54"/>
      <c r="I661" s="800"/>
      <c r="J661" s="800"/>
    </row>
    <row r="662" spans="3:10" ht="15.75">
      <c r="C662" s="440"/>
      <c r="D662" s="440"/>
      <c r="E662" s="1"/>
      <c r="F662" s="54"/>
      <c r="G662" s="54"/>
      <c r="H662" s="54"/>
      <c r="I662" s="800"/>
      <c r="J662" s="800"/>
    </row>
    <row r="663" spans="3:10" ht="15.75">
      <c r="C663" s="440"/>
      <c r="D663" s="440"/>
      <c r="E663" s="1"/>
      <c r="F663" s="54"/>
      <c r="G663" s="54"/>
      <c r="H663" s="54"/>
      <c r="I663" s="800"/>
      <c r="J663" s="800"/>
    </row>
    <row r="664" spans="3:10" ht="15.75">
      <c r="C664" s="440"/>
      <c r="D664" s="440"/>
      <c r="E664" s="1"/>
      <c r="F664" s="54"/>
      <c r="G664" s="54"/>
      <c r="H664" s="54"/>
      <c r="I664" s="800"/>
      <c r="J664" s="800"/>
    </row>
    <row r="665" spans="3:10" ht="15.75">
      <c r="C665" s="440"/>
      <c r="D665" s="440"/>
      <c r="E665" s="1"/>
      <c r="F665" s="54"/>
      <c r="G665" s="54"/>
      <c r="H665" s="54"/>
      <c r="I665" s="800"/>
      <c r="J665" s="800"/>
    </row>
    <row r="666" spans="3:10" ht="15.75">
      <c r="C666" s="440"/>
      <c r="D666" s="440"/>
      <c r="E666" s="1"/>
      <c r="F666" s="54"/>
      <c r="G666" s="54"/>
      <c r="H666" s="54"/>
      <c r="I666" s="800"/>
      <c r="J666" s="800"/>
    </row>
    <row r="667" spans="3:10" ht="15.75">
      <c r="C667" s="440"/>
      <c r="D667" s="440"/>
      <c r="E667" s="1"/>
      <c r="F667" s="54"/>
      <c r="G667" s="54"/>
      <c r="H667" s="54"/>
      <c r="I667" s="800"/>
      <c r="J667" s="800"/>
    </row>
    <row r="668" spans="3:10" ht="15.75">
      <c r="C668" s="440"/>
      <c r="D668" s="440"/>
      <c r="E668" s="1"/>
      <c r="F668" s="54"/>
      <c r="G668" s="54"/>
      <c r="H668" s="54"/>
      <c r="I668" s="800"/>
      <c r="J668" s="800"/>
    </row>
    <row r="669" spans="3:10" ht="15.75">
      <c r="C669" s="440"/>
      <c r="D669" s="440"/>
      <c r="E669" s="1"/>
      <c r="F669" s="54"/>
      <c r="G669" s="54"/>
      <c r="H669" s="54"/>
      <c r="I669" s="800"/>
      <c r="J669" s="800"/>
    </row>
    <row r="670" spans="3:10" ht="15.75">
      <c r="C670" s="440"/>
      <c r="D670" s="440"/>
      <c r="E670" s="1"/>
      <c r="F670" s="54"/>
      <c r="G670" s="54"/>
      <c r="H670" s="54"/>
      <c r="I670" s="800"/>
      <c r="J670" s="800"/>
    </row>
    <row r="671" spans="3:10" ht="15.75">
      <c r="C671" s="440"/>
      <c r="D671" s="440"/>
      <c r="E671" s="1"/>
      <c r="F671" s="54"/>
      <c r="G671" s="54"/>
      <c r="H671" s="54"/>
      <c r="I671" s="800"/>
      <c r="J671" s="800"/>
    </row>
    <row r="672" spans="3:10" ht="15.75">
      <c r="C672" s="440"/>
      <c r="D672" s="440"/>
      <c r="E672" s="1"/>
      <c r="F672" s="54"/>
      <c r="G672" s="54"/>
      <c r="H672" s="54"/>
      <c r="I672" s="800"/>
      <c r="J672" s="800"/>
    </row>
    <row r="673" spans="3:10" ht="15.75">
      <c r="C673" s="440"/>
      <c r="D673" s="440"/>
      <c r="E673" s="1"/>
      <c r="F673" s="54"/>
      <c r="G673" s="54"/>
      <c r="H673" s="54"/>
      <c r="I673" s="800"/>
      <c r="J673" s="800"/>
    </row>
    <row r="674" spans="3:10" ht="15.75">
      <c r="C674" s="440"/>
      <c r="D674" s="440"/>
      <c r="E674" s="1"/>
      <c r="F674" s="54"/>
      <c r="G674" s="54"/>
      <c r="H674" s="54"/>
      <c r="I674" s="800"/>
      <c r="J674" s="800"/>
    </row>
    <row r="675" spans="3:10" ht="15.75">
      <c r="C675" s="440"/>
      <c r="D675" s="440"/>
      <c r="E675" s="1"/>
      <c r="F675" s="54"/>
      <c r="G675" s="54"/>
      <c r="H675" s="54"/>
      <c r="I675" s="800"/>
      <c r="J675" s="800"/>
    </row>
    <row r="676" spans="3:10" ht="15.75">
      <c r="C676" s="440"/>
      <c r="D676" s="440"/>
      <c r="E676" s="1"/>
      <c r="F676" s="54"/>
      <c r="G676" s="54"/>
      <c r="H676" s="54"/>
      <c r="I676" s="800"/>
      <c r="J676" s="800"/>
    </row>
    <row r="677" spans="3:10" ht="15.75">
      <c r="C677" s="440"/>
      <c r="D677" s="440"/>
      <c r="E677" s="1"/>
      <c r="F677" s="54"/>
      <c r="G677" s="54"/>
      <c r="H677" s="54"/>
      <c r="I677" s="800"/>
      <c r="J677" s="800"/>
    </row>
    <row r="678" spans="3:10" ht="15.75">
      <c r="C678" s="440"/>
      <c r="D678" s="440"/>
      <c r="E678" s="1"/>
      <c r="F678" s="54"/>
      <c r="G678" s="54"/>
      <c r="H678" s="54"/>
      <c r="I678" s="800"/>
      <c r="J678" s="800"/>
    </row>
    <row r="679" spans="3:10" ht="15.75">
      <c r="C679" s="440"/>
      <c r="D679" s="440"/>
      <c r="E679" s="1"/>
      <c r="F679" s="54"/>
      <c r="G679" s="54"/>
      <c r="H679" s="54"/>
      <c r="I679" s="800"/>
      <c r="J679" s="800"/>
    </row>
    <row r="680" spans="3:10" ht="15.75">
      <c r="C680" s="440"/>
      <c r="D680" s="440"/>
      <c r="E680" s="1"/>
      <c r="F680" s="54"/>
      <c r="G680" s="54"/>
      <c r="H680" s="54"/>
      <c r="I680" s="800"/>
      <c r="J680" s="800"/>
    </row>
    <row r="681" spans="3:10" ht="15.75">
      <c r="C681" s="440"/>
      <c r="D681" s="440"/>
      <c r="E681" s="1"/>
      <c r="F681" s="54"/>
      <c r="G681" s="54"/>
      <c r="H681" s="54"/>
      <c r="I681" s="800"/>
      <c r="J681" s="800"/>
    </row>
    <row r="682" spans="3:10" ht="15.75">
      <c r="C682" s="440"/>
      <c r="D682" s="440"/>
      <c r="E682" s="1"/>
      <c r="F682" s="54"/>
      <c r="G682" s="54"/>
      <c r="H682" s="54"/>
      <c r="I682" s="800"/>
      <c r="J682" s="800"/>
    </row>
    <row r="683" spans="3:10" ht="15.75">
      <c r="C683" s="440"/>
      <c r="D683" s="440"/>
      <c r="E683" s="1"/>
      <c r="F683" s="54"/>
      <c r="G683" s="54"/>
      <c r="H683" s="54"/>
      <c r="I683" s="800"/>
      <c r="J683" s="800"/>
    </row>
    <row r="684" spans="3:10" ht="15.75">
      <c r="C684" s="440"/>
      <c r="D684" s="440"/>
      <c r="E684" s="1"/>
      <c r="F684" s="54"/>
      <c r="G684" s="54"/>
      <c r="H684" s="54"/>
      <c r="I684" s="800"/>
      <c r="J684" s="800"/>
    </row>
    <row r="685" spans="3:10" ht="15.75">
      <c r="C685" s="440"/>
      <c r="D685" s="440"/>
      <c r="E685" s="1"/>
      <c r="F685" s="54"/>
      <c r="G685" s="54"/>
      <c r="H685" s="54"/>
      <c r="I685" s="800"/>
      <c r="J685" s="800"/>
    </row>
    <row r="686" spans="3:10" ht="15.75">
      <c r="C686" s="440"/>
      <c r="D686" s="440"/>
      <c r="E686" s="1"/>
      <c r="F686" s="54"/>
      <c r="G686" s="54"/>
      <c r="H686" s="54"/>
      <c r="I686" s="800"/>
      <c r="J686" s="800"/>
    </row>
    <row r="687" spans="3:10" ht="15.75">
      <c r="C687" s="440"/>
      <c r="D687" s="440"/>
      <c r="E687" s="1"/>
      <c r="F687" s="54"/>
      <c r="G687" s="54"/>
      <c r="H687" s="54"/>
      <c r="I687" s="800"/>
      <c r="J687" s="800"/>
    </row>
    <row r="688" spans="3:10" ht="15.75">
      <c r="C688" s="440"/>
      <c r="D688" s="440"/>
      <c r="E688" s="1"/>
      <c r="F688" s="54"/>
      <c r="G688" s="54"/>
      <c r="H688" s="54"/>
      <c r="I688" s="800"/>
      <c r="J688" s="800"/>
    </row>
    <row r="689" spans="3:10" ht="15.75">
      <c r="C689" s="440"/>
      <c r="D689" s="440"/>
      <c r="E689" s="1"/>
      <c r="F689" s="54"/>
      <c r="G689" s="54"/>
      <c r="H689" s="54"/>
      <c r="I689" s="800"/>
      <c r="J689" s="800"/>
    </row>
    <row r="690" spans="3:10" ht="15.75">
      <c r="C690" s="440"/>
      <c r="D690" s="440"/>
      <c r="E690" s="1"/>
      <c r="F690" s="54"/>
      <c r="G690" s="54"/>
      <c r="H690" s="54"/>
      <c r="I690" s="800"/>
      <c r="J690" s="800"/>
    </row>
    <row r="691" spans="3:10" ht="15.75">
      <c r="C691" s="440"/>
      <c r="D691" s="440"/>
      <c r="E691" s="1"/>
      <c r="F691" s="54"/>
      <c r="G691" s="54"/>
      <c r="H691" s="54"/>
      <c r="I691" s="800"/>
      <c r="J691" s="800"/>
    </row>
    <row r="692" spans="3:10" ht="15.75">
      <c r="C692" s="440"/>
      <c r="D692" s="440"/>
      <c r="E692" s="1"/>
      <c r="F692" s="54"/>
      <c r="G692" s="54"/>
      <c r="H692" s="54"/>
      <c r="I692" s="800"/>
      <c r="J692" s="800"/>
    </row>
    <row r="693" spans="3:10" ht="15.75">
      <c r="C693" s="440"/>
      <c r="D693" s="440"/>
      <c r="E693" s="1"/>
      <c r="F693" s="54"/>
      <c r="G693" s="54"/>
      <c r="H693" s="54"/>
      <c r="I693" s="800"/>
      <c r="J693" s="800"/>
    </row>
    <row r="694" spans="3:10" ht="15.75">
      <c r="C694" s="440"/>
      <c r="D694" s="440"/>
      <c r="E694" s="1"/>
      <c r="F694" s="54"/>
      <c r="G694" s="54"/>
      <c r="H694" s="54"/>
      <c r="I694" s="800"/>
      <c r="J694" s="800"/>
    </row>
    <row r="695" spans="3:10" ht="15.75">
      <c r="C695" s="440"/>
      <c r="D695" s="440"/>
      <c r="E695" s="1"/>
      <c r="F695" s="54"/>
      <c r="G695" s="54"/>
      <c r="H695" s="54"/>
      <c r="I695" s="800"/>
      <c r="J695" s="800"/>
    </row>
    <row r="696" spans="3:10" ht="15.75">
      <c r="C696" s="440"/>
      <c r="D696" s="440"/>
      <c r="E696" s="1"/>
      <c r="F696" s="54"/>
      <c r="G696" s="54"/>
      <c r="H696" s="54"/>
      <c r="I696" s="800"/>
      <c r="J696" s="800"/>
    </row>
    <row r="697" spans="3:10" ht="15.75">
      <c r="C697" s="440"/>
      <c r="D697" s="440"/>
      <c r="E697" s="1"/>
      <c r="F697" s="54"/>
      <c r="G697" s="54"/>
      <c r="H697" s="54"/>
      <c r="I697" s="800"/>
      <c r="J697" s="800"/>
    </row>
    <row r="698" spans="3:10" ht="15.75">
      <c r="C698" s="440"/>
      <c r="D698" s="440"/>
      <c r="E698" s="1"/>
      <c r="F698" s="54"/>
      <c r="G698" s="54"/>
      <c r="H698" s="54"/>
      <c r="I698" s="800"/>
      <c r="J698" s="800"/>
    </row>
    <row r="699" spans="3:10" ht="15.75">
      <c r="C699" s="440"/>
      <c r="D699" s="440"/>
      <c r="E699" s="1"/>
      <c r="F699" s="54"/>
      <c r="G699" s="54"/>
      <c r="H699" s="54"/>
      <c r="I699" s="800"/>
      <c r="J699" s="800"/>
    </row>
    <row r="700" spans="3:10" ht="15.75">
      <c r="C700" s="440"/>
      <c r="D700" s="440"/>
      <c r="E700" s="1"/>
      <c r="F700" s="54"/>
      <c r="G700" s="54"/>
      <c r="H700" s="54"/>
      <c r="I700" s="800"/>
      <c r="J700" s="800"/>
    </row>
    <row r="701" spans="3:10" ht="15.75">
      <c r="C701" s="440"/>
      <c r="D701" s="440"/>
      <c r="E701" s="1"/>
      <c r="F701" s="54"/>
      <c r="G701" s="54"/>
      <c r="H701" s="54"/>
      <c r="I701" s="800"/>
      <c r="J701" s="800"/>
    </row>
    <row r="702" spans="3:10" ht="15.75">
      <c r="C702" s="440"/>
      <c r="D702" s="440"/>
      <c r="E702" s="1"/>
      <c r="F702" s="54"/>
      <c r="G702" s="54"/>
      <c r="H702" s="54"/>
      <c r="I702" s="800"/>
      <c r="J702" s="800"/>
    </row>
    <row r="703" spans="3:10" ht="15.75">
      <c r="C703" s="440"/>
      <c r="D703" s="440"/>
      <c r="E703" s="1"/>
      <c r="F703" s="54"/>
      <c r="G703" s="54"/>
      <c r="H703" s="54"/>
      <c r="I703" s="800"/>
      <c r="J703" s="800"/>
    </row>
    <row r="704" spans="3:10" ht="15.75">
      <c r="C704" s="440"/>
      <c r="D704" s="440"/>
      <c r="E704" s="1"/>
      <c r="F704" s="54"/>
      <c r="G704" s="54"/>
      <c r="H704" s="54"/>
      <c r="I704" s="800"/>
      <c r="J704" s="800"/>
    </row>
    <row r="705" spans="3:10" ht="15.75">
      <c r="C705" s="440"/>
      <c r="D705" s="440"/>
      <c r="E705" s="1"/>
      <c r="F705" s="54"/>
      <c r="G705" s="54"/>
      <c r="H705" s="54"/>
      <c r="I705" s="800"/>
      <c r="J705" s="800"/>
    </row>
    <row r="706" spans="3:10" ht="15.75">
      <c r="C706" s="440"/>
      <c r="D706" s="440"/>
      <c r="E706" s="1"/>
      <c r="F706" s="54"/>
      <c r="G706" s="54"/>
      <c r="H706" s="54"/>
      <c r="I706" s="800"/>
      <c r="J706" s="800"/>
    </row>
    <row r="707" spans="3:10" ht="15.75">
      <c r="C707" s="440"/>
      <c r="D707" s="440"/>
      <c r="E707" s="1"/>
      <c r="F707" s="54"/>
      <c r="G707" s="54"/>
      <c r="H707" s="54"/>
      <c r="I707" s="800"/>
      <c r="J707" s="800"/>
    </row>
    <row r="708" spans="3:10" ht="15.75">
      <c r="C708" s="440"/>
      <c r="D708" s="440"/>
      <c r="E708" s="1"/>
      <c r="F708" s="54"/>
      <c r="G708" s="54"/>
      <c r="H708" s="54"/>
      <c r="I708" s="800"/>
      <c r="J708" s="800"/>
    </row>
    <row r="709" spans="3:10" ht="15.75">
      <c r="C709" s="440"/>
      <c r="D709" s="440"/>
      <c r="E709" s="1"/>
      <c r="F709" s="54"/>
      <c r="G709" s="54"/>
      <c r="H709" s="54"/>
      <c r="I709" s="800"/>
      <c r="J709" s="800"/>
    </row>
    <row r="710" spans="3:10" ht="15.75">
      <c r="C710" s="440"/>
      <c r="D710" s="440"/>
      <c r="E710" s="1"/>
      <c r="F710" s="54"/>
      <c r="G710" s="54"/>
      <c r="H710" s="54"/>
      <c r="I710" s="800"/>
      <c r="J710" s="800"/>
    </row>
    <row r="711" spans="3:10" ht="15.75">
      <c r="C711" s="440"/>
      <c r="D711" s="440"/>
      <c r="E711" s="1"/>
      <c r="F711" s="54"/>
      <c r="G711" s="54"/>
      <c r="H711" s="54"/>
      <c r="I711" s="800"/>
      <c r="J711" s="800"/>
    </row>
    <row r="712" spans="3:10" ht="15.75">
      <c r="C712" s="440"/>
      <c r="D712" s="440"/>
      <c r="E712" s="1"/>
      <c r="F712" s="54"/>
      <c r="G712" s="54"/>
      <c r="H712" s="54"/>
      <c r="I712" s="800"/>
      <c r="J712" s="800"/>
    </row>
    <row r="713" spans="3:10" ht="15.75">
      <c r="C713" s="440"/>
      <c r="D713" s="440"/>
      <c r="E713" s="1"/>
      <c r="F713" s="54"/>
      <c r="G713" s="54"/>
      <c r="H713" s="54"/>
      <c r="I713" s="800"/>
      <c r="J713" s="800"/>
    </row>
    <row r="714" spans="3:10" ht="15.75">
      <c r="C714" s="440"/>
      <c r="D714" s="440"/>
      <c r="E714" s="1"/>
      <c r="F714" s="54"/>
      <c r="G714" s="54"/>
      <c r="H714" s="54"/>
      <c r="I714" s="800"/>
      <c r="J714" s="800"/>
    </row>
    <row r="715" spans="3:10" ht="15.75">
      <c r="C715" s="440"/>
      <c r="D715" s="440"/>
      <c r="E715" s="1"/>
      <c r="F715" s="54"/>
      <c r="G715" s="54"/>
      <c r="H715" s="54"/>
      <c r="I715" s="800"/>
      <c r="J715" s="800"/>
    </row>
    <row r="716" spans="3:10" ht="15.75">
      <c r="C716" s="440"/>
      <c r="D716" s="440"/>
      <c r="E716" s="1"/>
      <c r="F716" s="54"/>
      <c r="G716" s="54"/>
      <c r="H716" s="54"/>
      <c r="I716" s="800"/>
      <c r="J716" s="800"/>
    </row>
    <row r="717" spans="3:10" ht="15.75">
      <c r="C717" s="440"/>
      <c r="D717" s="440"/>
      <c r="E717" s="1"/>
      <c r="F717" s="54"/>
      <c r="G717" s="54"/>
      <c r="H717" s="54"/>
      <c r="I717" s="800"/>
      <c r="J717" s="800"/>
    </row>
    <row r="718" spans="3:10" ht="15.75">
      <c r="C718" s="440"/>
      <c r="D718" s="440"/>
      <c r="E718" s="1"/>
      <c r="F718" s="54"/>
      <c r="G718" s="54"/>
      <c r="H718" s="54"/>
      <c r="I718" s="800"/>
      <c r="J718" s="800"/>
    </row>
    <row r="719" spans="3:10" ht="15.75">
      <c r="C719" s="440"/>
      <c r="D719" s="440"/>
      <c r="E719" s="1"/>
      <c r="F719" s="54"/>
      <c r="G719" s="54"/>
      <c r="H719" s="54"/>
      <c r="I719" s="800"/>
      <c r="J719" s="800"/>
    </row>
    <row r="720" spans="3:10" ht="15.75">
      <c r="C720" s="440"/>
      <c r="D720" s="440"/>
      <c r="E720" s="1"/>
      <c r="F720" s="54"/>
      <c r="G720" s="54"/>
      <c r="H720" s="54"/>
      <c r="I720" s="800"/>
      <c r="J720" s="800"/>
    </row>
    <row r="721" spans="3:10" ht="15.75">
      <c r="C721" s="440"/>
      <c r="D721" s="440"/>
      <c r="E721" s="1"/>
      <c r="F721" s="54"/>
      <c r="G721" s="54"/>
      <c r="H721" s="54"/>
      <c r="I721" s="800"/>
      <c r="J721" s="800"/>
    </row>
    <row r="722" spans="3:10" ht="15.75">
      <c r="C722" s="440"/>
      <c r="D722" s="440"/>
      <c r="E722" s="1"/>
      <c r="F722" s="54"/>
      <c r="G722" s="54"/>
      <c r="H722" s="54"/>
      <c r="I722" s="800"/>
      <c r="J722" s="800"/>
    </row>
  </sheetData>
  <sheetProtection/>
  <mergeCells count="23">
    <mergeCell ref="A357:B357"/>
    <mergeCell ref="C372:D372"/>
    <mergeCell ref="A22:B22"/>
    <mergeCell ref="A64:B64"/>
    <mergeCell ref="A72:B72"/>
    <mergeCell ref="A77:B77"/>
    <mergeCell ref="A89:B89"/>
    <mergeCell ref="A97:B97"/>
    <mergeCell ref="A355:B355"/>
    <mergeCell ref="A257:B257"/>
    <mergeCell ref="A268:B268"/>
    <mergeCell ref="A286:B286"/>
    <mergeCell ref="A304:B304"/>
    <mergeCell ref="A159:B159"/>
    <mergeCell ref="A324:B324"/>
    <mergeCell ref="A347:B347"/>
    <mergeCell ref="A154:B154"/>
    <mergeCell ref="A184:B184"/>
    <mergeCell ref="A193:B193"/>
    <mergeCell ref="A213:B213"/>
    <mergeCell ref="B2:I3"/>
    <mergeCell ref="A4:B4"/>
    <mergeCell ref="A6:B6"/>
  </mergeCells>
  <printOptions horizontalCentered="1"/>
  <pageMargins left="0.7086614173228347" right="0.11811023622047245" top="0.15748031496062992" bottom="0.15748031496062992" header="0.31496062992125984" footer="0.31496062992125984"/>
  <pageSetup fitToHeight="0" fitToWidth="1" horizontalDpi="600" verticalDpi="600" orientation="landscape" paperSize="9" scale="59" r:id="rId1"/>
  <rowBreaks count="2" manualBreakCount="2">
    <brk id="212" max="255" man="1"/>
    <brk id="267" max="255" man="1"/>
  </rowBreaks>
</worksheet>
</file>

<file path=xl/worksheets/sheet7.xml><?xml version="1.0" encoding="utf-8"?>
<worksheet xmlns="http://schemas.openxmlformats.org/spreadsheetml/2006/main" xmlns:r="http://schemas.openxmlformats.org/officeDocument/2006/relationships">
  <sheetPr>
    <tabColor rgb="FFFF0000"/>
    <pageSetUpPr fitToPage="1"/>
  </sheetPr>
  <dimension ref="A1:F56"/>
  <sheetViews>
    <sheetView tabSelected="1" view="pageBreakPreview" zoomScale="60" zoomScaleNormal="85" zoomScalePageLayoutView="0" workbookViewId="0" topLeftCell="A25">
      <selection activeCell="A88" sqref="A88"/>
    </sheetView>
  </sheetViews>
  <sheetFormatPr defaultColWidth="9.140625" defaultRowHeight="15"/>
  <cols>
    <col min="1" max="6" width="30.140625" style="0" customWidth="1"/>
  </cols>
  <sheetData>
    <row r="1" spans="1:6" ht="15.75">
      <c r="A1" s="74"/>
      <c r="B1" s="74"/>
      <c r="C1" s="74"/>
      <c r="D1" s="74"/>
      <c r="E1" s="74"/>
      <c r="F1" s="74"/>
    </row>
    <row r="2" spans="1:6" ht="15.75">
      <c r="A2" s="74"/>
      <c r="B2" s="74"/>
      <c r="C2" s="74"/>
      <c r="D2" s="74"/>
      <c r="E2" s="74"/>
      <c r="F2" s="74"/>
    </row>
    <row r="3" spans="1:6" ht="18.75">
      <c r="A3" s="52" t="s">
        <v>101</v>
      </c>
      <c r="B3" s="53"/>
      <c r="C3" s="131"/>
      <c r="D3" s="131"/>
      <c r="E3" s="131"/>
      <c r="F3" s="129" t="s">
        <v>853</v>
      </c>
    </row>
    <row r="4" spans="1:6" ht="18.75">
      <c r="A4" s="52" t="s">
        <v>2</v>
      </c>
      <c r="B4" s="53"/>
      <c r="C4" s="131"/>
      <c r="D4" s="131"/>
      <c r="E4" s="131"/>
      <c r="F4" s="74"/>
    </row>
    <row r="5" spans="1:6" ht="15.75">
      <c r="A5" s="74"/>
      <c r="B5" s="74"/>
      <c r="C5" s="74"/>
      <c r="D5" s="74"/>
      <c r="E5" s="74"/>
      <c r="F5" s="74"/>
    </row>
    <row r="6" spans="1:6" ht="15.75">
      <c r="A6" s="74"/>
      <c r="B6" s="74"/>
      <c r="C6" s="74"/>
      <c r="D6" s="74"/>
      <c r="E6" s="74"/>
      <c r="F6" s="74"/>
    </row>
    <row r="7" spans="1:6" ht="20.25">
      <c r="A7" s="851" t="s">
        <v>854</v>
      </c>
      <c r="B7" s="851"/>
      <c r="C7" s="851"/>
      <c r="D7" s="851"/>
      <c r="E7" s="851"/>
      <c r="F7" s="851"/>
    </row>
    <row r="8" spans="1:6" ht="15.75">
      <c r="A8" s="74"/>
      <c r="B8" s="74"/>
      <c r="C8" s="74"/>
      <c r="D8" s="74"/>
      <c r="E8" s="74"/>
      <c r="F8" s="4"/>
    </row>
    <row r="9" spans="1:6" ht="16.5" thickBot="1">
      <c r="A9" s="74"/>
      <c r="B9" s="74"/>
      <c r="C9" s="74"/>
      <c r="D9" s="74"/>
      <c r="E9" s="74"/>
      <c r="F9" s="135" t="s">
        <v>493</v>
      </c>
    </row>
    <row r="10" spans="1:6" ht="15.75" thickBot="1">
      <c r="A10" s="852" t="s">
        <v>1037</v>
      </c>
      <c r="B10" s="852"/>
      <c r="C10" s="852"/>
      <c r="D10" s="852"/>
      <c r="E10" s="852"/>
      <c r="F10" s="852"/>
    </row>
    <row r="11" spans="1:6" ht="15">
      <c r="A11" s="852"/>
      <c r="B11" s="852"/>
      <c r="C11" s="852"/>
      <c r="D11" s="852"/>
      <c r="E11" s="852"/>
      <c r="F11" s="852"/>
    </row>
    <row r="12" spans="1:6" ht="47.25">
      <c r="A12" s="136" t="s">
        <v>855</v>
      </c>
      <c r="B12" s="137" t="s">
        <v>856</v>
      </c>
      <c r="C12" s="137" t="s">
        <v>857</v>
      </c>
      <c r="D12" s="137" t="s">
        <v>858</v>
      </c>
      <c r="E12" s="137" t="s">
        <v>859</v>
      </c>
      <c r="F12" s="138" t="s">
        <v>860</v>
      </c>
    </row>
    <row r="13" spans="1:6" ht="15.75">
      <c r="A13" s="139"/>
      <c r="B13" s="137">
        <v>1</v>
      </c>
      <c r="C13" s="137">
        <v>2</v>
      </c>
      <c r="D13" s="137">
        <v>3</v>
      </c>
      <c r="E13" s="137" t="s">
        <v>861</v>
      </c>
      <c r="F13" s="138">
        <v>5</v>
      </c>
    </row>
    <row r="14" spans="1:6" ht="15.75">
      <c r="A14" s="140" t="s">
        <v>862</v>
      </c>
      <c r="B14" s="490">
        <v>30833000</v>
      </c>
      <c r="C14" s="490">
        <v>7913131</v>
      </c>
      <c r="D14" s="490">
        <v>7913131</v>
      </c>
      <c r="E14" s="490">
        <f>B14-D14</f>
        <v>22919869</v>
      </c>
      <c r="F14" s="491">
        <f>D14/B14</f>
        <v>0.2566448610255246</v>
      </c>
    </row>
    <row r="15" spans="1:6" ht="15.75">
      <c r="A15" s="143" t="s">
        <v>863</v>
      </c>
      <c r="B15" s="492">
        <v>343525</v>
      </c>
      <c r="C15" s="493">
        <v>1530</v>
      </c>
      <c r="D15" s="492">
        <v>328423</v>
      </c>
      <c r="E15" s="490">
        <f>C15-D15</f>
        <v>-326893</v>
      </c>
      <c r="F15" s="491">
        <f>D15/B15</f>
        <v>0.956038134051379</v>
      </c>
    </row>
    <row r="16" spans="1:6" ht="16.5" thickBot="1">
      <c r="A16" s="144" t="s">
        <v>864</v>
      </c>
      <c r="B16" s="494">
        <f>SUM(B14:B15)</f>
        <v>31176525</v>
      </c>
      <c r="C16" s="495">
        <f>SUM(C14:C15)</f>
        <v>7914661</v>
      </c>
      <c r="D16" s="494">
        <f>SUM(D14:D15)</f>
        <v>8241554</v>
      </c>
      <c r="E16" s="495">
        <f>SUM(E14:E15)</f>
        <v>22592976</v>
      </c>
      <c r="F16" s="491">
        <f>D16/B16</f>
        <v>0.26435127070768794</v>
      </c>
    </row>
    <row r="17" spans="1:6" ht="16.5" thickBot="1">
      <c r="A17" s="146"/>
      <c r="B17" s="147"/>
      <c r="C17" s="148"/>
      <c r="D17" s="149"/>
      <c r="E17" s="150" t="s">
        <v>493</v>
      </c>
      <c r="F17" s="150"/>
    </row>
    <row r="18" spans="1:6" ht="15.75">
      <c r="A18" s="853" t="s">
        <v>1038</v>
      </c>
      <c r="B18" s="853"/>
      <c r="C18" s="853"/>
      <c r="D18" s="853"/>
      <c r="E18" s="853"/>
      <c r="F18" s="151"/>
    </row>
    <row r="19" spans="1:6" ht="15.75">
      <c r="A19" s="152"/>
      <c r="B19" s="137" t="s">
        <v>865</v>
      </c>
      <c r="C19" s="137" t="s">
        <v>866</v>
      </c>
      <c r="D19" s="137" t="s">
        <v>867</v>
      </c>
      <c r="E19" s="153" t="s">
        <v>868</v>
      </c>
      <c r="F19" s="154"/>
    </row>
    <row r="20" spans="1:6" ht="15.75">
      <c r="A20" s="140" t="s">
        <v>862</v>
      </c>
      <c r="B20" s="142"/>
      <c r="C20" s="142"/>
      <c r="D20" s="142"/>
      <c r="E20" s="155"/>
      <c r="F20" s="156"/>
    </row>
    <row r="21" spans="1:6" ht="15.75">
      <c r="A21" s="157" t="s">
        <v>863</v>
      </c>
      <c r="B21" s="93">
        <v>65700000</v>
      </c>
      <c r="C21" s="93">
        <v>149750000</v>
      </c>
      <c r="D21" s="93">
        <v>239600000</v>
      </c>
      <c r="E21" s="158">
        <v>299500000</v>
      </c>
      <c r="F21" s="156"/>
    </row>
    <row r="22" spans="1:6" ht="16.5" thickBot="1">
      <c r="A22" s="144" t="s">
        <v>864</v>
      </c>
      <c r="B22" s="93">
        <v>65700000</v>
      </c>
      <c r="C22" s="93">
        <v>149750000</v>
      </c>
      <c r="D22" s="93">
        <v>239600000</v>
      </c>
      <c r="E22" s="158">
        <v>299500000</v>
      </c>
      <c r="F22" s="156"/>
    </row>
    <row r="23" spans="1:6" ht="16.5" thickBot="1">
      <c r="A23" s="74"/>
      <c r="B23" s="74"/>
      <c r="C23" s="74"/>
      <c r="D23" s="74"/>
      <c r="E23" s="74"/>
      <c r="F23" s="135" t="s">
        <v>493</v>
      </c>
    </row>
    <row r="24" spans="1:6" ht="15.75">
      <c r="A24" s="853" t="s">
        <v>1039</v>
      </c>
      <c r="B24" s="853"/>
      <c r="C24" s="853"/>
      <c r="D24" s="853"/>
      <c r="E24" s="853"/>
      <c r="F24" s="853"/>
    </row>
    <row r="25" spans="1:6" ht="47.25">
      <c r="A25" s="140" t="s">
        <v>855</v>
      </c>
      <c r="B25" s="137" t="s">
        <v>856</v>
      </c>
      <c r="C25" s="137" t="s">
        <v>857</v>
      </c>
      <c r="D25" s="137" t="s">
        <v>858</v>
      </c>
      <c r="E25" s="137" t="s">
        <v>859</v>
      </c>
      <c r="F25" s="138" t="s">
        <v>869</v>
      </c>
    </row>
    <row r="26" spans="1:6" ht="15.75">
      <c r="A26" s="854" t="s">
        <v>862</v>
      </c>
      <c r="B26" s="137">
        <v>1</v>
      </c>
      <c r="C26" s="137">
        <v>2</v>
      </c>
      <c r="D26" s="137">
        <v>3</v>
      </c>
      <c r="E26" s="137" t="s">
        <v>861</v>
      </c>
      <c r="F26" s="138">
        <v>5</v>
      </c>
    </row>
    <row r="27" spans="1:6" ht="15.75">
      <c r="A27" s="854"/>
      <c r="B27" s="141"/>
      <c r="C27" s="141"/>
      <c r="D27" s="141"/>
      <c r="E27" s="141"/>
      <c r="F27" s="159"/>
    </row>
    <row r="28" spans="1:6" ht="15.75">
      <c r="A28" s="157" t="s">
        <v>863</v>
      </c>
      <c r="B28" s="160">
        <v>65700000</v>
      </c>
      <c r="C28" s="160"/>
      <c r="D28" s="160">
        <v>31802957</v>
      </c>
      <c r="E28" s="160">
        <f>B28-D28</f>
        <v>33897043</v>
      </c>
      <c r="F28" s="299">
        <f>D28/B28</f>
        <v>0.4840632724505327</v>
      </c>
    </row>
    <row r="29" spans="1:6" ht="16.5" thickBot="1">
      <c r="A29" s="144" t="s">
        <v>864</v>
      </c>
      <c r="B29" s="97"/>
      <c r="C29" s="97"/>
      <c r="D29" s="97"/>
      <c r="E29" s="97"/>
      <c r="F29" s="299"/>
    </row>
    <row r="30" spans="1:6" ht="16.5" thickBot="1">
      <c r="A30" s="74"/>
      <c r="B30" s="74"/>
      <c r="C30" s="74"/>
      <c r="D30" s="74"/>
      <c r="E30" s="74"/>
      <c r="F30" s="135" t="s">
        <v>493</v>
      </c>
    </row>
    <row r="31" spans="1:6" ht="15.75">
      <c r="A31" s="853" t="s">
        <v>1040</v>
      </c>
      <c r="B31" s="853"/>
      <c r="C31" s="853"/>
      <c r="D31" s="853"/>
      <c r="E31" s="853"/>
      <c r="F31" s="853"/>
    </row>
    <row r="32" spans="1:6" ht="47.25">
      <c r="A32" s="152" t="s">
        <v>855</v>
      </c>
      <c r="B32" s="137" t="s">
        <v>856</v>
      </c>
      <c r="C32" s="137" t="s">
        <v>857</v>
      </c>
      <c r="D32" s="137" t="s">
        <v>858</v>
      </c>
      <c r="E32" s="137" t="s">
        <v>859</v>
      </c>
      <c r="F32" s="138" t="s">
        <v>870</v>
      </c>
    </row>
    <row r="33" spans="1:6" ht="15.75">
      <c r="A33" s="854" t="s">
        <v>862</v>
      </c>
      <c r="B33" s="137">
        <v>1</v>
      </c>
      <c r="C33" s="137">
        <v>2</v>
      </c>
      <c r="D33" s="137">
        <v>3</v>
      </c>
      <c r="E33" s="137" t="s">
        <v>861</v>
      </c>
      <c r="F33" s="138">
        <v>5</v>
      </c>
    </row>
    <row r="34" spans="1:6" ht="15.75">
      <c r="A34" s="854"/>
      <c r="B34" s="141"/>
      <c r="C34" s="141"/>
      <c r="D34" s="141"/>
      <c r="E34" s="141"/>
      <c r="F34" s="299"/>
    </row>
    <row r="35" spans="1:6" ht="15.75">
      <c r="A35" s="143" t="s">
        <v>863</v>
      </c>
      <c r="B35" s="93">
        <v>149750000</v>
      </c>
      <c r="C35" s="93"/>
      <c r="D35" s="93">
        <v>68927057</v>
      </c>
      <c r="E35" s="160">
        <f>B35-D35</f>
        <v>80822943</v>
      </c>
      <c r="F35" s="299">
        <f>D35/B35</f>
        <v>0.46028084808013353</v>
      </c>
    </row>
    <row r="36" spans="1:6" ht="16.5" thickBot="1">
      <c r="A36" s="162" t="s">
        <v>864</v>
      </c>
      <c r="B36" s="300"/>
      <c r="C36" s="300"/>
      <c r="D36" s="300"/>
      <c r="E36" s="97"/>
      <c r="F36" s="145"/>
    </row>
    <row r="37" spans="1:6" ht="16.5" thickBot="1">
      <c r="A37" s="74"/>
      <c r="B37" s="74"/>
      <c r="C37" s="74"/>
      <c r="D37" s="74"/>
      <c r="E37" s="74"/>
      <c r="F37" s="135" t="s">
        <v>493</v>
      </c>
    </row>
    <row r="38" spans="1:6" ht="15.75">
      <c r="A38" s="853" t="s">
        <v>1041</v>
      </c>
      <c r="B38" s="853"/>
      <c r="C38" s="853"/>
      <c r="D38" s="853"/>
      <c r="E38" s="853"/>
      <c r="F38" s="853"/>
    </row>
    <row r="39" spans="1:6" ht="47.25">
      <c r="A39" s="152" t="s">
        <v>855</v>
      </c>
      <c r="B39" s="137" t="s">
        <v>856</v>
      </c>
      <c r="C39" s="137" t="s">
        <v>857</v>
      </c>
      <c r="D39" s="137" t="s">
        <v>858</v>
      </c>
      <c r="E39" s="137" t="s">
        <v>859</v>
      </c>
      <c r="F39" s="138" t="s">
        <v>871</v>
      </c>
    </row>
    <row r="40" spans="1:6" ht="15.75">
      <c r="A40" s="854" t="s">
        <v>862</v>
      </c>
      <c r="B40" s="137">
        <v>1</v>
      </c>
      <c r="C40" s="137">
        <v>2</v>
      </c>
      <c r="D40" s="137">
        <v>3</v>
      </c>
      <c r="E40" s="137" t="s">
        <v>861</v>
      </c>
      <c r="F40" s="138">
        <v>5</v>
      </c>
    </row>
    <row r="41" spans="1:6" ht="15.75">
      <c r="A41" s="854"/>
      <c r="B41" s="141"/>
      <c r="C41" s="141"/>
      <c r="D41" s="141"/>
      <c r="E41" s="141"/>
      <c r="F41" s="299"/>
    </row>
    <row r="42" spans="1:6" ht="15.75">
      <c r="A42" s="143" t="s">
        <v>872</v>
      </c>
      <c r="B42" s="160"/>
      <c r="C42" s="160"/>
      <c r="D42" s="160"/>
      <c r="E42" s="160"/>
      <c r="F42" s="379"/>
    </row>
    <row r="43" spans="1:6" ht="16.5" thickBot="1">
      <c r="A43" s="162" t="s">
        <v>864</v>
      </c>
      <c r="B43" s="97"/>
      <c r="C43" s="97"/>
      <c r="D43" s="97"/>
      <c r="E43" s="97"/>
      <c r="F43" s="145"/>
    </row>
    <row r="44" spans="1:6" ht="16.5" thickBot="1">
      <c r="A44" s="74"/>
      <c r="B44" s="74"/>
      <c r="C44" s="74"/>
      <c r="D44" s="74"/>
      <c r="E44" s="74"/>
      <c r="F44" s="135" t="s">
        <v>493</v>
      </c>
    </row>
    <row r="45" spans="1:6" ht="15.75">
      <c r="A45" s="853" t="s">
        <v>1042</v>
      </c>
      <c r="B45" s="853"/>
      <c r="C45" s="853"/>
      <c r="D45" s="853"/>
      <c r="E45" s="853"/>
      <c r="F45" s="853"/>
    </row>
    <row r="46" spans="1:6" ht="47.25">
      <c r="A46" s="152" t="s">
        <v>855</v>
      </c>
      <c r="B46" s="137" t="s">
        <v>856</v>
      </c>
      <c r="C46" s="137" t="s">
        <v>857</v>
      </c>
      <c r="D46" s="137" t="s">
        <v>858</v>
      </c>
      <c r="E46" s="137" t="s">
        <v>859</v>
      </c>
      <c r="F46" s="138" t="s">
        <v>873</v>
      </c>
    </row>
    <row r="47" spans="1:6" ht="15.75">
      <c r="A47" s="854" t="s">
        <v>862</v>
      </c>
      <c r="B47" s="137">
        <v>1</v>
      </c>
      <c r="C47" s="137">
        <v>2</v>
      </c>
      <c r="D47" s="137">
        <v>3</v>
      </c>
      <c r="E47" s="137" t="s">
        <v>861</v>
      </c>
      <c r="F47" s="138">
        <v>5</v>
      </c>
    </row>
    <row r="48" spans="1:6" ht="15.75">
      <c r="A48" s="854"/>
      <c r="B48" s="141"/>
      <c r="C48" s="141"/>
      <c r="D48" s="141"/>
      <c r="E48" s="141"/>
      <c r="F48" s="299"/>
    </row>
    <row r="49" spans="1:6" ht="15.75">
      <c r="A49" s="157" t="s">
        <v>863</v>
      </c>
      <c r="B49" s="160"/>
      <c r="C49" s="93"/>
      <c r="D49" s="160"/>
      <c r="E49" s="141"/>
      <c r="F49" s="299"/>
    </row>
    <row r="50" spans="1:6" ht="16.5" thickBot="1">
      <c r="A50" s="144" t="s">
        <v>864</v>
      </c>
      <c r="B50" s="97"/>
      <c r="C50" s="300"/>
      <c r="D50" s="97"/>
      <c r="E50" s="300"/>
      <c r="F50" s="145"/>
    </row>
    <row r="51" spans="1:6" ht="15.75">
      <c r="A51" s="163"/>
      <c r="B51" s="156"/>
      <c r="C51" s="156"/>
      <c r="D51" s="156"/>
      <c r="E51" s="156"/>
      <c r="F51" s="156"/>
    </row>
    <row r="52" spans="1:6" ht="15.75">
      <c r="A52" s="855" t="s">
        <v>874</v>
      </c>
      <c r="B52" s="855"/>
      <c r="C52" s="855"/>
      <c r="D52" s="855"/>
      <c r="E52" s="855"/>
      <c r="F52" s="855"/>
    </row>
    <row r="53" spans="1:6" ht="15.75">
      <c r="A53" s="164"/>
      <c r="B53" s="74"/>
      <c r="C53" s="74"/>
      <c r="D53" s="74"/>
      <c r="E53" s="74"/>
      <c r="F53" s="74"/>
    </row>
    <row r="54" spans="1:6" ht="15.75">
      <c r="A54" s="74" t="s">
        <v>1452</v>
      </c>
      <c r="B54" s="74"/>
      <c r="C54" s="74"/>
      <c r="D54" s="74"/>
      <c r="E54" s="164" t="s">
        <v>875</v>
      </c>
      <c r="F54" s="164"/>
    </row>
    <row r="55" spans="1:6" ht="15.75">
      <c r="A55" s="820" t="s">
        <v>490</v>
      </c>
      <c r="B55" s="820"/>
      <c r="C55" s="820"/>
      <c r="D55" s="820"/>
      <c r="E55" s="820"/>
      <c r="F55" s="820"/>
    </row>
    <row r="56" spans="1:6" ht="15.75">
      <c r="A56" s="74"/>
      <c r="B56" s="74"/>
      <c r="C56" s="74"/>
      <c r="D56" s="74"/>
      <c r="E56" s="74"/>
      <c r="F56" s="74"/>
    </row>
  </sheetData>
  <sheetProtection/>
  <mergeCells count="13">
    <mergeCell ref="A55:F55"/>
    <mergeCell ref="A33:A34"/>
    <mergeCell ref="A38:F38"/>
    <mergeCell ref="A40:A41"/>
    <mergeCell ref="A45:F45"/>
    <mergeCell ref="A47:A48"/>
    <mergeCell ref="A52:F52"/>
    <mergeCell ref="A7:F7"/>
    <mergeCell ref="A10:F11"/>
    <mergeCell ref="A18:E18"/>
    <mergeCell ref="A24:F24"/>
    <mergeCell ref="A26:A27"/>
    <mergeCell ref="A31:F31"/>
  </mergeCells>
  <printOptions/>
  <pageMargins left="0.7086614173228347" right="0.7086614173228347" top="0.15748031496062992" bottom="0.7480314960629921" header="0.31496062992125984" footer="0.31496062992125984"/>
  <pageSetup fitToHeight="0"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M25"/>
  <sheetViews>
    <sheetView tabSelected="1" view="pageBreakPreview" zoomScale="60" zoomScalePageLayoutView="0" workbookViewId="0" topLeftCell="A1">
      <selection activeCell="A88" sqref="A88"/>
    </sheetView>
  </sheetViews>
  <sheetFormatPr defaultColWidth="9.140625" defaultRowHeight="15"/>
  <cols>
    <col min="1" max="2" width="30.140625" style="0" customWidth="1"/>
    <col min="3" max="3" width="17.421875" style="0" customWidth="1"/>
    <col min="4" max="4" width="17.57421875" style="0" customWidth="1"/>
    <col min="5" max="5" width="19.421875" style="0" customWidth="1"/>
    <col min="6" max="6" width="15.8515625" style="0" customWidth="1"/>
    <col min="7" max="7" width="17.8515625" style="0" customWidth="1"/>
    <col min="8" max="8" width="22.140625" style="0" customWidth="1"/>
    <col min="9" max="9" width="15.421875" style="0" customWidth="1"/>
    <col min="10" max="10" width="0.13671875" style="0" customWidth="1"/>
  </cols>
  <sheetData>
    <row r="1" spans="1:10" ht="21" customHeight="1">
      <c r="A1" s="52" t="s">
        <v>101</v>
      </c>
      <c r="B1" s="53"/>
      <c r="C1" s="186"/>
      <c r="D1" s="186"/>
      <c r="E1" s="134"/>
      <c r="F1" s="134"/>
      <c r="G1" s="134"/>
      <c r="H1" s="74"/>
      <c r="I1" s="129" t="s">
        <v>886</v>
      </c>
      <c r="J1" s="74"/>
    </row>
    <row r="2" spans="1:10" ht="18.75">
      <c r="A2" s="52" t="s">
        <v>2</v>
      </c>
      <c r="B2" s="53"/>
      <c r="C2" s="186"/>
      <c r="D2" s="186"/>
      <c r="E2" s="462"/>
      <c r="F2" s="462"/>
      <c r="G2" s="134"/>
      <c r="H2" s="74"/>
      <c r="I2" s="129"/>
      <c r="J2" s="129"/>
    </row>
    <row r="3" spans="1:10" ht="15.75">
      <c r="A3" s="74"/>
      <c r="B3" s="74"/>
      <c r="C3" s="74"/>
      <c r="D3" s="74"/>
      <c r="E3" s="74"/>
      <c r="F3" s="74"/>
      <c r="G3" s="74"/>
      <c r="H3" s="74"/>
      <c r="I3" s="74"/>
      <c r="J3" s="74"/>
    </row>
    <row r="4" spans="1:10" ht="15.75">
      <c r="A4" s="74"/>
      <c r="B4" s="74"/>
      <c r="C4" s="74"/>
      <c r="D4" s="74"/>
      <c r="E4" s="74"/>
      <c r="F4" s="74"/>
      <c r="G4" s="74"/>
      <c r="H4" s="74"/>
      <c r="I4" s="74"/>
      <c r="J4" s="74"/>
    </row>
    <row r="5" spans="1:10" ht="20.25">
      <c r="A5" s="856" t="s">
        <v>887</v>
      </c>
      <c r="B5" s="856"/>
      <c r="C5" s="856"/>
      <c r="D5" s="856"/>
      <c r="E5" s="856"/>
      <c r="F5" s="856"/>
      <c r="G5" s="856"/>
      <c r="H5" s="856"/>
      <c r="I5" s="4"/>
      <c r="J5" s="74"/>
    </row>
    <row r="6" spans="1:10" ht="15.75">
      <c r="A6" s="131"/>
      <c r="B6" s="131"/>
      <c r="C6" s="131"/>
      <c r="D6" s="131"/>
      <c r="E6" s="131"/>
      <c r="F6" s="131"/>
      <c r="G6" s="131"/>
      <c r="H6" s="131"/>
      <c r="I6" s="129" t="s">
        <v>3</v>
      </c>
      <c r="J6" s="74"/>
    </row>
    <row r="7" spans="1:10" ht="78.75">
      <c r="A7" s="464" t="s">
        <v>888</v>
      </c>
      <c r="B7" s="465" t="s">
        <v>889</v>
      </c>
      <c r="C7" s="465" t="s">
        <v>890</v>
      </c>
      <c r="D7" s="465" t="s">
        <v>891</v>
      </c>
      <c r="E7" s="465" t="s">
        <v>892</v>
      </c>
      <c r="F7" s="465" t="s">
        <v>893</v>
      </c>
      <c r="G7" s="465" t="s">
        <v>894</v>
      </c>
      <c r="H7" s="465" t="s">
        <v>895</v>
      </c>
      <c r="I7" s="465" t="s">
        <v>896</v>
      </c>
      <c r="J7" s="187"/>
    </row>
    <row r="8" spans="1:10" ht="15.75">
      <c r="A8" s="464">
        <v>1</v>
      </c>
      <c r="B8" s="464">
        <v>2</v>
      </c>
      <c r="C8" s="465">
        <v>3</v>
      </c>
      <c r="D8" s="465">
        <v>4</v>
      </c>
      <c r="E8" s="464">
        <v>5</v>
      </c>
      <c r="F8" s="465">
        <v>6</v>
      </c>
      <c r="G8" s="465">
        <v>7</v>
      </c>
      <c r="H8" s="464">
        <v>8</v>
      </c>
      <c r="I8" s="465" t="s">
        <v>897</v>
      </c>
      <c r="J8" s="187"/>
    </row>
    <row r="9" spans="1:10" ht="15.75">
      <c r="A9" s="465" t="s">
        <v>898</v>
      </c>
      <c r="B9" s="466">
        <v>141960541</v>
      </c>
      <c r="C9" s="467"/>
      <c r="D9" s="465"/>
      <c r="E9" s="464"/>
      <c r="F9" s="465"/>
      <c r="G9" s="465"/>
      <c r="H9" s="464"/>
      <c r="I9" s="465"/>
      <c r="J9" s="187"/>
    </row>
    <row r="10" spans="1:10" ht="15.75">
      <c r="A10" s="464" t="s">
        <v>899</v>
      </c>
      <c r="B10" s="466">
        <v>29716238.7</v>
      </c>
      <c r="C10" s="464"/>
      <c r="D10" s="468"/>
      <c r="E10" s="468"/>
      <c r="F10" s="468"/>
      <c r="G10" s="468"/>
      <c r="H10" s="468"/>
      <c r="I10" s="468"/>
      <c r="J10" s="74"/>
    </row>
    <row r="11" spans="1:13" ht="15.75">
      <c r="A11" s="464">
        <v>2018</v>
      </c>
      <c r="B11" s="469">
        <v>22005322.44</v>
      </c>
      <c r="C11" s="464"/>
      <c r="D11" s="468"/>
      <c r="E11" s="468"/>
      <c r="F11" s="468"/>
      <c r="G11" s="468"/>
      <c r="H11" s="468"/>
      <c r="I11" s="468"/>
      <c r="J11" s="74"/>
      <c r="M11" s="487"/>
    </row>
    <row r="12" spans="1:10" ht="15.75">
      <c r="A12" s="464">
        <v>2019</v>
      </c>
      <c r="B12" s="469">
        <v>1858798.39</v>
      </c>
      <c r="C12" s="464"/>
      <c r="D12" s="468"/>
      <c r="E12" s="468"/>
      <c r="F12" s="468"/>
      <c r="G12" s="468"/>
      <c r="H12" s="468"/>
      <c r="I12" s="468"/>
      <c r="J12" s="74"/>
    </row>
    <row r="13" spans="1:10" s="440" customFormat="1" ht="15.75">
      <c r="A13" s="464">
        <v>2020</v>
      </c>
      <c r="B13" s="496"/>
      <c r="C13" s="464"/>
      <c r="D13" s="468"/>
      <c r="E13" s="468"/>
      <c r="F13" s="468"/>
      <c r="G13" s="468"/>
      <c r="H13" s="468"/>
      <c r="I13" s="468"/>
      <c r="J13" s="74"/>
    </row>
    <row r="14" spans="1:10" ht="15.75">
      <c r="A14" s="74"/>
      <c r="B14" s="74"/>
      <c r="C14" s="74"/>
      <c r="D14" s="74"/>
      <c r="E14" s="74"/>
      <c r="F14" s="74"/>
      <c r="G14" s="74"/>
      <c r="H14" s="74"/>
      <c r="I14" s="156"/>
      <c r="J14" s="74"/>
    </row>
    <row r="15" spans="1:10" ht="32.25" customHeight="1">
      <c r="A15" s="857"/>
      <c r="B15" s="857"/>
      <c r="C15" s="857"/>
      <c r="D15" s="857"/>
      <c r="E15" s="857"/>
      <c r="F15" s="857"/>
      <c r="G15" s="857"/>
      <c r="H15" s="857"/>
      <c r="I15" s="857"/>
      <c r="J15" s="857"/>
    </row>
    <row r="16" spans="1:10" ht="37.5" customHeight="1">
      <c r="A16" s="858" t="s">
        <v>1014</v>
      </c>
      <c r="B16" s="858"/>
      <c r="C16" s="858"/>
      <c r="D16" s="858"/>
      <c r="E16" s="858"/>
      <c r="F16" s="858"/>
      <c r="G16" s="858"/>
      <c r="H16" s="858"/>
      <c r="I16" s="858"/>
      <c r="J16" s="74"/>
    </row>
    <row r="17" spans="1:10" ht="54" customHeight="1">
      <c r="A17" s="859" t="s">
        <v>1051</v>
      </c>
      <c r="B17" s="859"/>
      <c r="C17" s="859"/>
      <c r="D17" s="859"/>
      <c r="E17" s="859"/>
      <c r="F17" s="859"/>
      <c r="G17" s="859"/>
      <c r="H17" s="859"/>
      <c r="I17" s="859"/>
      <c r="J17" s="74"/>
    </row>
    <row r="18" spans="1:10" ht="15.75">
      <c r="A18" s="476"/>
      <c r="B18" s="476"/>
      <c r="C18" s="476"/>
      <c r="D18" s="476"/>
      <c r="E18" s="476"/>
      <c r="F18" s="476"/>
      <c r="G18" s="45"/>
      <c r="H18" s="476"/>
      <c r="I18" s="476"/>
      <c r="J18" s="74"/>
    </row>
    <row r="19" spans="1:10" ht="24.75" customHeight="1">
      <c r="A19" s="483" t="s">
        <v>1072</v>
      </c>
      <c r="B19" s="477"/>
      <c r="C19" s="477"/>
      <c r="D19" s="477"/>
      <c r="E19" s="477"/>
      <c r="F19" s="477"/>
      <c r="G19" s="477"/>
      <c r="H19" s="477"/>
      <c r="I19" s="477"/>
      <c r="J19" s="74"/>
    </row>
    <row r="20" spans="1:10" ht="15.75">
      <c r="A20" s="478"/>
      <c r="B20" s="478"/>
      <c r="C20" s="479"/>
      <c r="D20" s="479"/>
      <c r="E20" s="480"/>
      <c r="F20" s="477"/>
      <c r="G20" s="480"/>
      <c r="H20" s="477"/>
      <c r="I20" s="477"/>
      <c r="J20" s="74"/>
    </row>
    <row r="21" spans="1:10" ht="15.75">
      <c r="A21" s="477"/>
      <c r="B21" s="477"/>
      <c r="C21" s="477"/>
      <c r="D21" s="477"/>
      <c r="E21" s="477"/>
      <c r="F21" s="477"/>
      <c r="G21" s="477"/>
      <c r="H21" s="477"/>
      <c r="I21" s="477"/>
      <c r="J21" s="74"/>
    </row>
    <row r="22" spans="1:9" ht="15.75">
      <c r="A22" s="478" t="s">
        <v>1454</v>
      </c>
      <c r="B22" s="482"/>
      <c r="C22" s="482"/>
      <c r="D22" s="482"/>
      <c r="E22" s="480" t="s">
        <v>100</v>
      </c>
      <c r="F22" s="482"/>
      <c r="G22" s="480" t="s">
        <v>1016</v>
      </c>
      <c r="H22" s="481"/>
      <c r="I22" s="482"/>
    </row>
    <row r="23" spans="1:9" ht="15">
      <c r="A23" s="482"/>
      <c r="B23" s="482"/>
      <c r="C23" s="482"/>
      <c r="D23" s="482"/>
      <c r="E23" s="482"/>
      <c r="F23" s="482"/>
      <c r="G23" s="482"/>
      <c r="H23" s="482"/>
      <c r="I23" s="482"/>
    </row>
    <row r="24" spans="1:9" ht="15">
      <c r="A24" s="482"/>
      <c r="B24" s="482"/>
      <c r="C24" s="482"/>
      <c r="D24" s="482"/>
      <c r="E24" s="482"/>
      <c r="F24" s="482"/>
      <c r="G24" s="482"/>
      <c r="H24" s="482"/>
      <c r="I24" s="482"/>
    </row>
    <row r="25" spans="1:9" ht="15">
      <c r="A25" s="482"/>
      <c r="B25" s="482"/>
      <c r="C25" s="482"/>
      <c r="D25" s="482"/>
      <c r="E25" s="482"/>
      <c r="F25" s="482"/>
      <c r="G25" s="482"/>
      <c r="H25" s="482"/>
      <c r="I25" s="482"/>
    </row>
  </sheetData>
  <sheetProtection/>
  <mergeCells count="4">
    <mergeCell ref="A5:H5"/>
    <mergeCell ref="A15:J15"/>
    <mergeCell ref="A16:I16"/>
    <mergeCell ref="A17:I17"/>
  </mergeCells>
  <printOptions/>
  <pageMargins left="0.7" right="0.7" top="0.75" bottom="0.75" header="0.3" footer="0.3"/>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J21"/>
  <sheetViews>
    <sheetView tabSelected="1" view="pageBreakPreview" zoomScale="60" zoomScalePageLayoutView="0" workbookViewId="0" topLeftCell="A1">
      <selection activeCell="A88" sqref="A88"/>
    </sheetView>
  </sheetViews>
  <sheetFormatPr defaultColWidth="9.140625" defaultRowHeight="15"/>
  <cols>
    <col min="1" max="2" width="30.140625" style="0" customWidth="1"/>
    <col min="3" max="7" width="20.7109375" style="0" customWidth="1"/>
    <col min="8" max="8" width="18.7109375" style="0" customWidth="1"/>
    <col min="9" max="9" width="19.8515625" style="0" customWidth="1"/>
    <col min="10" max="10" width="14.7109375" style="0" customWidth="1"/>
  </cols>
  <sheetData>
    <row r="1" spans="1:10" ht="18.75">
      <c r="A1" s="52" t="s">
        <v>101</v>
      </c>
      <c r="B1" s="53"/>
      <c r="C1" s="1"/>
      <c r="D1" s="1"/>
      <c r="E1" s="1"/>
      <c r="F1" s="1"/>
      <c r="G1" s="129"/>
      <c r="H1" s="129" t="s">
        <v>876</v>
      </c>
      <c r="I1" s="1"/>
      <c r="J1" s="1"/>
    </row>
    <row r="2" spans="1:10" ht="18.75">
      <c r="A2" s="52" t="s">
        <v>2</v>
      </c>
      <c r="B2" s="53"/>
      <c r="C2" s="1"/>
      <c r="D2" s="1"/>
      <c r="E2" s="1"/>
      <c r="F2" s="1"/>
      <c r="G2" s="1"/>
      <c r="H2" s="1"/>
      <c r="I2" s="1"/>
      <c r="J2" s="1"/>
    </row>
    <row r="3" spans="1:10" ht="15.75">
      <c r="A3" s="1"/>
      <c r="B3" s="165"/>
      <c r="C3" s="165"/>
      <c r="D3" s="165"/>
      <c r="E3" s="165"/>
      <c r="F3" s="165"/>
      <c r="G3" s="165"/>
      <c r="H3" s="165"/>
      <c r="I3" s="165"/>
      <c r="J3" s="165"/>
    </row>
    <row r="4" spans="1:10" ht="20.25">
      <c r="A4" s="856" t="s">
        <v>877</v>
      </c>
      <c r="B4" s="856"/>
      <c r="C4" s="856"/>
      <c r="D4" s="856"/>
      <c r="E4" s="856"/>
      <c r="F4" s="856"/>
      <c r="G4" s="856"/>
      <c r="H4" s="856"/>
      <c r="I4" s="165"/>
      <c r="J4" s="165"/>
    </row>
    <row r="5" spans="1:10" ht="15.75">
      <c r="A5" s="1"/>
      <c r="B5" s="166"/>
      <c r="C5" s="166"/>
      <c r="D5" s="166"/>
      <c r="E5" s="166"/>
      <c r="F5" s="166"/>
      <c r="G5" s="166"/>
      <c r="H5" s="166"/>
      <c r="I5" s="166"/>
      <c r="J5" s="166"/>
    </row>
    <row r="6" spans="1:10" ht="16.5" thickBot="1">
      <c r="A6" s="1"/>
      <c r="B6" s="167"/>
      <c r="C6" s="167"/>
      <c r="D6" s="167"/>
      <c r="E6" s="1"/>
      <c r="F6" s="167"/>
      <c r="G6" s="167"/>
      <c r="H6" s="168" t="s">
        <v>493</v>
      </c>
      <c r="I6" s="1"/>
      <c r="J6" s="167"/>
    </row>
    <row r="7" spans="1:10" ht="16.5" thickBot="1">
      <c r="A7" s="839" t="s">
        <v>494</v>
      </c>
      <c r="B7" s="860" t="s">
        <v>878</v>
      </c>
      <c r="C7" s="861" t="s">
        <v>1043</v>
      </c>
      <c r="D7" s="861" t="s">
        <v>1031</v>
      </c>
      <c r="E7" s="861" t="s">
        <v>1032</v>
      </c>
      <c r="F7" s="862" t="s">
        <v>1057</v>
      </c>
      <c r="G7" s="862"/>
      <c r="H7" s="863" t="s">
        <v>1066</v>
      </c>
      <c r="I7" s="169"/>
      <c r="J7" s="169"/>
    </row>
    <row r="8" spans="1:10" ht="57.75" customHeight="1" thickBot="1">
      <c r="A8" s="839"/>
      <c r="B8" s="860"/>
      <c r="C8" s="861"/>
      <c r="D8" s="861"/>
      <c r="E8" s="861"/>
      <c r="F8" s="170" t="s">
        <v>1030</v>
      </c>
      <c r="G8" s="171" t="s">
        <v>7</v>
      </c>
      <c r="H8" s="863"/>
      <c r="I8" s="172"/>
      <c r="J8" s="172"/>
    </row>
    <row r="9" spans="1:10" ht="15.75">
      <c r="A9" s="173" t="s">
        <v>496</v>
      </c>
      <c r="B9" s="174" t="s">
        <v>879</v>
      </c>
      <c r="C9" s="175"/>
      <c r="D9" s="175"/>
      <c r="E9" s="175"/>
      <c r="F9" s="175"/>
      <c r="G9" s="175"/>
      <c r="H9" s="176"/>
      <c r="I9" s="72"/>
      <c r="J9" s="72"/>
    </row>
    <row r="10" spans="1:10" ht="15.75">
      <c r="A10" s="177" t="s">
        <v>498</v>
      </c>
      <c r="B10" s="178" t="s">
        <v>880</v>
      </c>
      <c r="C10" s="179"/>
      <c r="D10" s="179"/>
      <c r="E10" s="179"/>
      <c r="F10" s="179"/>
      <c r="G10" s="179"/>
      <c r="H10" s="180"/>
      <c r="I10" s="72"/>
      <c r="J10" s="72"/>
    </row>
    <row r="11" spans="1:10" ht="15.75">
      <c r="A11" s="177" t="s">
        <v>500</v>
      </c>
      <c r="B11" s="178" t="s">
        <v>881</v>
      </c>
      <c r="C11" s="179"/>
      <c r="D11" s="179"/>
      <c r="E11" s="179"/>
      <c r="F11" s="179"/>
      <c r="G11" s="179"/>
      <c r="H11" s="180"/>
      <c r="I11" s="72"/>
      <c r="J11" s="72"/>
    </row>
    <row r="12" spans="1:10" ht="15.75">
      <c r="A12" s="177" t="s">
        <v>502</v>
      </c>
      <c r="B12" s="178" t="s">
        <v>882</v>
      </c>
      <c r="C12" s="179"/>
      <c r="D12" s="179"/>
      <c r="E12" s="179"/>
      <c r="F12" s="179"/>
      <c r="G12" s="179"/>
      <c r="H12" s="180"/>
      <c r="I12" s="72"/>
      <c r="J12" s="72"/>
    </row>
    <row r="13" spans="1:10" ht="15.75">
      <c r="A13" s="177" t="s">
        <v>569</v>
      </c>
      <c r="B13" s="178" t="s">
        <v>883</v>
      </c>
      <c r="C13" s="179">
        <v>600000</v>
      </c>
      <c r="D13" s="179">
        <v>352040</v>
      </c>
      <c r="E13" s="179">
        <v>600000</v>
      </c>
      <c r="F13" s="179">
        <v>300000</v>
      </c>
      <c r="G13" s="179">
        <v>55555</v>
      </c>
      <c r="H13" s="180">
        <f>G13/F13</f>
        <v>0.18518333333333334</v>
      </c>
      <c r="I13" s="72"/>
      <c r="J13" s="72"/>
    </row>
    <row r="14" spans="1:10" ht="15.75">
      <c r="A14" s="177" t="s">
        <v>570</v>
      </c>
      <c r="B14" s="178" t="s">
        <v>884</v>
      </c>
      <c r="C14" s="179"/>
      <c r="D14" s="179"/>
      <c r="E14" s="179"/>
      <c r="F14" s="179"/>
      <c r="G14" s="179"/>
      <c r="H14" s="180"/>
      <c r="I14" s="72"/>
      <c r="J14" s="72"/>
    </row>
    <row r="15" spans="1:10" ht="16.5" thickBot="1">
      <c r="A15" s="181" t="s">
        <v>572</v>
      </c>
      <c r="B15" s="182" t="s">
        <v>885</v>
      </c>
      <c r="C15" s="183"/>
      <c r="D15" s="183"/>
      <c r="E15" s="183"/>
      <c r="F15" s="183"/>
      <c r="G15" s="183"/>
      <c r="H15" s="184"/>
      <c r="I15" s="72"/>
      <c r="J15" s="72"/>
    </row>
    <row r="16" spans="1:10" ht="15.75">
      <c r="A16" s="185"/>
      <c r="B16" s="185"/>
      <c r="C16" s="185"/>
      <c r="D16" s="185"/>
      <c r="E16" s="185"/>
      <c r="F16" s="1"/>
      <c r="G16" s="1"/>
      <c r="H16" s="1"/>
      <c r="I16" s="1"/>
      <c r="J16" s="1"/>
    </row>
    <row r="17" spans="1:10" ht="15.75">
      <c r="A17" s="1"/>
      <c r="B17" s="1"/>
      <c r="C17" s="1"/>
      <c r="D17" s="1"/>
      <c r="E17" s="1"/>
      <c r="F17" s="1"/>
      <c r="G17" s="1"/>
      <c r="H17" s="1"/>
      <c r="I17" s="1"/>
      <c r="J17" s="1"/>
    </row>
    <row r="18" spans="1:10" ht="15.75">
      <c r="A18" s="74" t="s">
        <v>1452</v>
      </c>
      <c r="B18" s="74"/>
      <c r="C18" s="74"/>
      <c r="D18" s="74"/>
      <c r="E18" s="75" t="s">
        <v>490</v>
      </c>
      <c r="F18" s="74"/>
      <c r="G18" s="74" t="s">
        <v>1011</v>
      </c>
      <c r="H18" s="74"/>
      <c r="I18" s="130"/>
      <c r="J18" s="1"/>
    </row>
    <row r="19" spans="1:10" ht="15.75">
      <c r="A19" s="74"/>
      <c r="B19" s="74"/>
      <c r="C19" s="74"/>
      <c r="D19" s="74"/>
      <c r="E19" s="1"/>
      <c r="F19" s="74"/>
      <c r="G19" s="1"/>
      <c r="H19" s="1"/>
      <c r="I19" s="1"/>
      <c r="J19" s="1"/>
    </row>
    <row r="20" spans="1:10" ht="15.75">
      <c r="A20" s="74"/>
      <c r="B20" s="74"/>
      <c r="C20" s="1"/>
      <c r="D20" s="74"/>
      <c r="E20" s="1"/>
      <c r="F20" s="1"/>
      <c r="G20" s="1"/>
      <c r="H20" s="1"/>
      <c r="I20" s="1"/>
      <c r="J20" s="1"/>
    </row>
    <row r="21" spans="1:10" ht="15.75">
      <c r="A21" s="1"/>
      <c r="B21" s="1"/>
      <c r="C21" s="1"/>
      <c r="D21" s="1"/>
      <c r="E21" s="1"/>
      <c r="F21" s="1"/>
      <c r="G21" s="1"/>
      <c r="H21" s="1"/>
      <c r="I21" s="1"/>
      <c r="J21" s="1"/>
    </row>
  </sheetData>
  <sheetProtection/>
  <mergeCells count="8">
    <mergeCell ref="A4:H4"/>
    <mergeCell ref="A7:A8"/>
    <mergeCell ref="B7:B8"/>
    <mergeCell ref="C7:C8"/>
    <mergeCell ref="D7:D8"/>
    <mergeCell ref="E7:E8"/>
    <mergeCell ref="F7:G7"/>
    <mergeCell ref="H7:H8"/>
  </mergeCells>
  <printOptions/>
  <pageMargins left="0.7" right="0.7" top="0.75" bottom="0.75" header="0.3" footer="0.3"/>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dc:creator>
  <cp:keywords/>
  <dc:description/>
  <cp:lastModifiedBy>BGDH2O</cp:lastModifiedBy>
  <cp:lastPrinted>2020-07-23T06:12:25Z</cp:lastPrinted>
  <dcterms:created xsi:type="dcterms:W3CDTF">2018-04-27T09:33:34Z</dcterms:created>
  <dcterms:modified xsi:type="dcterms:W3CDTF">2020-07-23T07:15:07Z</dcterms:modified>
  <cp:category/>
  <cp:version/>
  <cp:contentType/>
  <cp:contentStatus/>
</cp:coreProperties>
</file>